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185" windowHeight="2520" tabRatio="709" firstSheet="8" activeTab="14"/>
  </bookViews>
  <sheets>
    <sheet name="Appendix-I (A)_UDD staffs" sheetId="1" r:id="rId1"/>
    <sheet name="3_CDMP_consultant_staff B-I" sheetId="2" r:id="rId2"/>
    <sheet name="7_cost_Mouza AppI-(B-2)" sheetId="3" r:id="rId3"/>
    <sheet name="9_Site office_car_furniture" sheetId="4" r:id="rId4"/>
    <sheet name="8_Other survey_UDD" sheetId="5" r:id="rId5"/>
    <sheet name="10_Honorarium_Contigency_others" sheetId="6" r:id="rId6"/>
    <sheet name="Detailed Breakdown of cost_CDMP" sheetId="7" r:id="rId7"/>
    <sheet name="Top_Sheet7" sheetId="8" r:id="rId8"/>
    <sheet name="4_Cost of Image " sheetId="9" r:id="rId9"/>
    <sheet name="5_Physical feature survey" sheetId="10" r:id="rId10"/>
    <sheet name="2_Trainning cost" sheetId="11" r:id="rId11"/>
    <sheet name="1_GIS-RS Lab" sheetId="12" r:id="rId12"/>
    <sheet name="6_DA" sheetId="13" r:id="rId13"/>
    <sheet name="Breakdown of cost" sheetId="14" r:id="rId14"/>
    <sheet name="Annex III" sheetId="15" r:id="rId15"/>
  </sheets>
  <definedNames/>
  <calcPr fullCalcOnLoad="1"/>
</workbook>
</file>

<file path=xl/sharedStrings.xml><?xml version="1.0" encoding="utf-8"?>
<sst xmlns="http://schemas.openxmlformats.org/spreadsheetml/2006/main" count="737" uniqueCount="427">
  <si>
    <t>Tk. in Lakh</t>
  </si>
  <si>
    <t>Sl No.</t>
  </si>
  <si>
    <t xml:space="preserve">Designation </t>
  </si>
  <si>
    <t>Level/Grade</t>
  </si>
  <si>
    <t>No. of Persons</t>
  </si>
  <si>
    <t>Man -Month</t>
  </si>
  <si>
    <t>Total Tk. in Lakh</t>
  </si>
  <si>
    <t>A</t>
  </si>
  <si>
    <t>Key personnel</t>
  </si>
  <si>
    <t>Class-I</t>
  </si>
  <si>
    <t>Project Planner</t>
  </si>
  <si>
    <t>Senior Geographer</t>
  </si>
  <si>
    <t>Assistant Engineer</t>
  </si>
  <si>
    <t xml:space="preserve">Assistant Planner </t>
  </si>
  <si>
    <t>Social Scientist</t>
  </si>
  <si>
    <t>Planning Assistant</t>
  </si>
  <si>
    <t>Class-II</t>
  </si>
  <si>
    <t>Research Assistant</t>
  </si>
  <si>
    <t>Class-III</t>
  </si>
  <si>
    <t>B</t>
  </si>
  <si>
    <t>Supporting Staff</t>
  </si>
  <si>
    <t>Steno-typist/LDA cum Typist</t>
  </si>
  <si>
    <t>Draftsman/Tracer</t>
  </si>
  <si>
    <t>Survey supervisor/Surveyor</t>
  </si>
  <si>
    <t>MLSS/Chainman/Khalashi/Messenger</t>
  </si>
  <si>
    <t>TOTAL</t>
  </si>
  <si>
    <t>Designation</t>
  </si>
  <si>
    <r>
      <t>Man-month</t>
    </r>
    <r>
      <rPr>
        <b/>
        <vertAlign val="superscript"/>
        <sz val="10"/>
        <rFont val="Times New Roman"/>
        <family val="1"/>
      </rPr>
      <t>*</t>
    </r>
  </si>
  <si>
    <t>Rate /mm</t>
  </si>
  <si>
    <t>(Taka) </t>
  </si>
  <si>
    <t>Total Taka</t>
  </si>
  <si>
    <t>Civil Engineer</t>
  </si>
  <si>
    <t>Survey Expert</t>
  </si>
  <si>
    <t>Geologist</t>
  </si>
  <si>
    <t>Hydrologist</t>
  </si>
  <si>
    <t>Architect</t>
  </si>
  <si>
    <t>Participatory Expert</t>
  </si>
  <si>
    <t>Sl. No.</t>
  </si>
  <si>
    <t>Description</t>
  </si>
  <si>
    <t>No. of units</t>
  </si>
  <si>
    <t>Total cost in Tk. Lakh</t>
  </si>
  <si>
    <t>Services</t>
  </si>
  <si>
    <t>Total</t>
  </si>
  <si>
    <t>Designations</t>
  </si>
  <si>
    <t>No.</t>
  </si>
  <si>
    <t>Items</t>
  </si>
  <si>
    <t xml:space="preserve">                                       Cost</t>
  </si>
  <si>
    <t>Key Personnel</t>
  </si>
  <si>
    <t>Name of Unit</t>
  </si>
  <si>
    <t>No. of Month</t>
  </si>
  <si>
    <t>month</t>
  </si>
  <si>
    <t>Project Area</t>
  </si>
  <si>
    <t>Cost</t>
  </si>
  <si>
    <t>No. of Unit</t>
  </si>
  <si>
    <t>Cost/ unit</t>
  </si>
  <si>
    <t>Lump Sum</t>
  </si>
  <si>
    <t>Budget Head</t>
  </si>
  <si>
    <t>Economic code / sub code</t>
  </si>
  <si>
    <t>Code /Sub code description</t>
  </si>
  <si>
    <t>Revenue</t>
  </si>
  <si>
    <t>Sub-total (Revenue)</t>
  </si>
  <si>
    <t>Capital</t>
  </si>
  <si>
    <t>Sub-total (Capital)</t>
  </si>
  <si>
    <t>Grand Total</t>
  </si>
  <si>
    <t>Project Director (PD)</t>
  </si>
  <si>
    <t>Project Manager  (PM)</t>
  </si>
  <si>
    <r>
      <t>Salary/mm</t>
    </r>
    <r>
      <rPr>
        <b/>
        <vertAlign val="superscript"/>
        <sz val="10"/>
        <rFont val="Times New Roman"/>
        <family val="1"/>
      </rPr>
      <t>*(Tk)</t>
    </r>
  </si>
  <si>
    <t>Cost/unit in</t>
  </si>
  <si>
    <t xml:space="preserve">Cost/unit inTk.  </t>
  </si>
  <si>
    <t>Tk. Lakh</t>
  </si>
  <si>
    <t>Environmental  and Sustainability Specialist</t>
  </si>
  <si>
    <t>Agriculturist</t>
  </si>
  <si>
    <t>Total cost</t>
  </si>
  <si>
    <t>Task Description</t>
  </si>
  <si>
    <t>Unit (Acre)</t>
  </si>
  <si>
    <t>Urban Planner</t>
  </si>
  <si>
    <t>Phase</t>
  </si>
  <si>
    <t>Honorarium for Different Committee Members</t>
  </si>
  <si>
    <t>C</t>
  </si>
  <si>
    <t xml:space="preserve">     </t>
  </si>
  <si>
    <t xml:space="preserve">   </t>
  </si>
  <si>
    <t>Contractor's Profit 10% of  A</t>
  </si>
  <si>
    <t xml:space="preserve">VAT 4% of (A+B) </t>
  </si>
  <si>
    <t xml:space="preserve"> Total Cost (A+B+C)</t>
  </si>
  <si>
    <t>GIS/RS Expert</t>
  </si>
  <si>
    <t>Overhead 10% of A</t>
  </si>
  <si>
    <t>VAT 15% of (A+B+C)</t>
  </si>
  <si>
    <t>4800/4874</t>
  </si>
  <si>
    <t>4800/0000</t>
  </si>
  <si>
    <t>4800/4886</t>
  </si>
  <si>
    <t>4800/4893</t>
  </si>
  <si>
    <t>4800/4806</t>
  </si>
  <si>
    <t>4800/4899</t>
  </si>
  <si>
    <t>6800/6821</t>
  </si>
  <si>
    <t>4800/4888</t>
  </si>
  <si>
    <t>Different Types of Survey and Studies 1. Different scale of survey maps and printouts will be finalized in consultation with the PD. It also includes the cost of personnel needed to conduct the surveys and all draft/final survey printing charges</t>
  </si>
  <si>
    <r>
      <t>Description</t>
    </r>
    <r>
      <rPr>
        <b/>
        <vertAlign val="superscript"/>
        <sz val="9"/>
        <rFont val="Times New Roman"/>
        <family val="1"/>
      </rPr>
      <t>*</t>
    </r>
  </si>
  <si>
    <r>
      <t>Cost/unit (Tk.)</t>
    </r>
    <r>
      <rPr>
        <b/>
        <vertAlign val="superscript"/>
        <sz val="9"/>
        <rFont val="Times New Roman"/>
        <family val="1"/>
      </rPr>
      <t xml:space="preserve"> </t>
    </r>
    <r>
      <rPr>
        <b/>
        <sz val="9"/>
        <rFont val="Times New Roman"/>
        <family val="1"/>
      </rPr>
      <t>*</t>
    </r>
  </si>
  <si>
    <t>Social Development (Chaild &amp; woman) Specialist</t>
  </si>
  <si>
    <t xml:space="preserve"> Statistician</t>
  </si>
  <si>
    <t>USD</t>
  </si>
  <si>
    <t>Table (3 Nos.)</t>
  </si>
  <si>
    <t>Table (3 Nos.) (Chairs9 Nos)</t>
  </si>
  <si>
    <t>Assigned</t>
  </si>
  <si>
    <t>UDD(Taufique)</t>
  </si>
  <si>
    <t>UDD(Uday)</t>
  </si>
  <si>
    <t>UDD(Jahangir)</t>
  </si>
  <si>
    <t>UDD(Akthar)</t>
  </si>
  <si>
    <t>(in laky)</t>
  </si>
  <si>
    <t>Person</t>
  </si>
  <si>
    <t>Geographer</t>
  </si>
  <si>
    <t xml:space="preserve"> Transport Planner</t>
  </si>
  <si>
    <t>Urban Economist</t>
  </si>
  <si>
    <t>Mynsensingh</t>
  </si>
  <si>
    <t>Mymensingh Sadar</t>
  </si>
  <si>
    <t>Class-III (4+4)</t>
  </si>
  <si>
    <t>Class-III(7+7)</t>
  </si>
  <si>
    <t>Class-III (7+3)</t>
  </si>
  <si>
    <t>Class-IV (4+4+4+2)</t>
  </si>
  <si>
    <t>During Planning Work</t>
  </si>
  <si>
    <t xml:space="preserve">During Survey Work &amp; Data Base Management </t>
  </si>
  <si>
    <t>Drawing  Table and Chair</t>
  </si>
  <si>
    <t>Chair (6 Nos.)</t>
  </si>
  <si>
    <t>Physical feature Survey period</t>
  </si>
  <si>
    <t>GoB</t>
  </si>
  <si>
    <t>CDMP</t>
  </si>
  <si>
    <t>Web Hosting cost (L.S.)</t>
  </si>
  <si>
    <r>
      <t xml:space="preserve">Estimate of Personnel and Supporting </t>
    </r>
    <r>
      <rPr>
        <b/>
        <sz val="8"/>
        <rFont val="Times New Roman"/>
        <family val="1"/>
      </rPr>
      <t>staff of UDD</t>
    </r>
    <r>
      <rPr>
        <sz val="8"/>
        <rFont val="Times New Roman"/>
        <family val="1"/>
      </rPr>
      <t xml:space="preserve"> for  supervision and checking of works carried out by the Consulting Firm [Details in Appendix- I(A)]   </t>
    </r>
  </si>
  <si>
    <r>
      <t xml:space="preserve">Estimate of </t>
    </r>
    <r>
      <rPr>
        <b/>
        <sz val="8"/>
        <rFont val="Times New Roman"/>
        <family val="1"/>
      </rPr>
      <t>Salaries of  Key Personnel</t>
    </r>
    <r>
      <rPr>
        <sz val="8"/>
        <rFont val="Times New Roman"/>
        <family val="1"/>
      </rPr>
      <t xml:space="preserve">  for Survey /Studies and relevant reports  preparation by the Consulting firm</t>
    </r>
    <r>
      <rPr>
        <b/>
        <sz val="8"/>
        <rFont val="Times New Roman"/>
        <family val="1"/>
      </rPr>
      <t xml:space="preserve"> </t>
    </r>
    <r>
      <rPr>
        <sz val="8"/>
        <rFont val="Times New Roman"/>
        <family val="1"/>
      </rPr>
      <t>[Sub-total A + Sub-total B, Details in Appendix -I(B)]</t>
    </r>
  </si>
  <si>
    <r>
      <t xml:space="preserve">Estimate of Services of Consulting firm for </t>
    </r>
    <r>
      <rPr>
        <b/>
        <sz val="8"/>
        <rFont val="Times New Roman"/>
        <family val="1"/>
      </rPr>
      <t>Mouza</t>
    </r>
    <r>
      <rPr>
        <sz val="8"/>
        <rFont val="Times New Roman"/>
        <family val="1"/>
      </rPr>
      <t xml:space="preserve"> work[Details in Appendix -I(B-1) &amp; I(B-2)]</t>
    </r>
  </si>
  <si>
    <r>
      <t xml:space="preserve">Estimate for Conducting </t>
    </r>
    <r>
      <rPr>
        <b/>
        <sz val="8"/>
        <rFont val="Times New Roman"/>
        <family val="1"/>
      </rPr>
      <t xml:space="preserve">Surveys and Studies </t>
    </r>
    <r>
      <rPr>
        <sz val="8"/>
        <rFont val="Times New Roman"/>
        <family val="1"/>
      </rPr>
      <t>by the Consulting firm [Details in Appendix –I (I-1), I(I-2), I(B-2)]</t>
    </r>
  </si>
  <si>
    <r>
      <t xml:space="preserve">Estimate for Rental of </t>
    </r>
    <r>
      <rPr>
        <b/>
        <sz val="8"/>
        <rFont val="Times New Roman"/>
        <family val="1"/>
      </rPr>
      <t>Car and Fuel Cost</t>
    </r>
    <r>
      <rPr>
        <sz val="8"/>
        <rFont val="Times New Roman"/>
        <family val="1"/>
      </rPr>
      <t xml:space="preserve"> [Details in Appendix –I (J)]</t>
    </r>
  </si>
  <si>
    <r>
      <t>Estimate for Rental of 1 (one)</t>
    </r>
    <r>
      <rPr>
        <b/>
        <sz val="8"/>
        <rFont val="Times New Roman"/>
        <family val="1"/>
      </rPr>
      <t xml:space="preserve"> Site Offices &amp; Furniture </t>
    </r>
    <r>
      <rPr>
        <sz val="8"/>
        <rFont val="Times New Roman"/>
        <family val="1"/>
      </rPr>
      <t>[Details in Appendix –I (H)]</t>
    </r>
  </si>
  <si>
    <r>
      <t xml:space="preserve">Estimate of </t>
    </r>
    <r>
      <rPr>
        <b/>
        <sz val="8"/>
        <rFont val="Times New Roman"/>
        <family val="1"/>
      </rPr>
      <t>other expenditures</t>
    </r>
    <r>
      <rPr>
        <sz val="8"/>
        <rFont val="Times New Roman"/>
        <family val="1"/>
      </rPr>
      <t xml:space="preserve"> [Details in Appendix-I (M)]</t>
    </r>
  </si>
  <si>
    <r>
      <t>Estimate of</t>
    </r>
    <r>
      <rPr>
        <b/>
        <sz val="8"/>
        <rFont val="Times New Roman"/>
        <family val="1"/>
      </rPr>
      <t xml:space="preserve"> Furniture </t>
    </r>
    <r>
      <rPr>
        <sz val="8"/>
        <rFont val="Times New Roman"/>
        <family val="1"/>
      </rPr>
      <t xml:space="preserve">at  2 Site Offices [Details in Appendix- I(G)]   </t>
    </r>
  </si>
  <si>
    <t>Cost/unit (Tk.) *</t>
  </si>
  <si>
    <t>Daily Allowance for Officers and Staffs of UDD during survey and planning Period</t>
  </si>
  <si>
    <t>BDT 76 per US$</t>
  </si>
  <si>
    <t>Sl. No</t>
  </si>
  <si>
    <t>Event/Unit</t>
  </si>
  <si>
    <t>Unit cost (BDT)</t>
  </si>
  <si>
    <t>Total cost (BDT)</t>
  </si>
  <si>
    <t>NA</t>
  </si>
  <si>
    <t>area for six (06) months during planning phase</t>
  </si>
  <si>
    <t>(including all service charges)</t>
  </si>
  <si>
    <t>at Mymensing municipality area (5533acre).</t>
  </si>
  <si>
    <t>Planning phase for 180 days at Mymensing municipality</t>
  </si>
  <si>
    <t>Grand Total Cost</t>
  </si>
  <si>
    <t>L.S.</t>
  </si>
  <si>
    <t>Sub-Total during survey period</t>
  </si>
  <si>
    <t>Sub-Total during planning period</t>
  </si>
  <si>
    <t>D</t>
  </si>
  <si>
    <t>E</t>
  </si>
  <si>
    <t xml:space="preserve"> Total cost for digital databse of Mouza map</t>
  </si>
  <si>
    <t>Total cost for the Moymensing municipality mouza maps (D+E)</t>
  </si>
  <si>
    <t>lacs</t>
  </si>
  <si>
    <t xml:space="preserve">Rental of Site Office including all service charges </t>
  </si>
  <si>
    <t>Rented Micro Bus for Transportation purpose for 06 months</t>
  </si>
  <si>
    <t>Fuel for micro bus (06 months)</t>
  </si>
  <si>
    <t>Different type of survey works for Mymensing Municipality Area</t>
  </si>
  <si>
    <t>One National Seminar in Dhaka (L.S.)</t>
  </si>
  <si>
    <t xml:space="preserve"> Public hearing  (Tk. 1 lakh for public hearing - L.S.)</t>
  </si>
  <si>
    <t>Sub-Total-01 for Honorarium of different committees</t>
  </si>
  <si>
    <t>Sub-Total-02 for Others</t>
  </si>
  <si>
    <t>Grand Total (Sub-total-01+02+03)</t>
  </si>
  <si>
    <t>Sub-Total _03 for daily allowances &amp; Contingency</t>
  </si>
  <si>
    <t>Unit (Acre)/ Nos.</t>
  </si>
  <si>
    <t>Profit 10% of (A+B)</t>
  </si>
  <si>
    <r>
      <t>Unit Area (sq.km)</t>
    </r>
    <r>
      <rPr>
        <b/>
        <vertAlign val="superscript"/>
        <sz val="9"/>
        <rFont val="Times New Roman"/>
        <family val="1"/>
      </rPr>
      <t>*</t>
    </r>
  </si>
  <si>
    <t>Cost of  Image/sq.km.</t>
  </si>
  <si>
    <t>Total cost (Tk. Lakh)</t>
  </si>
  <si>
    <r>
      <t>(Tk.)</t>
    </r>
    <r>
      <rPr>
        <b/>
        <vertAlign val="superscript"/>
        <sz val="9"/>
        <rFont val="Times New Roman"/>
        <family val="1"/>
      </rPr>
      <t>**</t>
    </r>
  </si>
  <si>
    <t>Profit 10% of  Total Cost</t>
  </si>
  <si>
    <t>Grand total</t>
  </si>
  <si>
    <t>VAT 4% of  Grand total</t>
  </si>
  <si>
    <t>Grand Cost</t>
  </si>
  <si>
    <t>Item with specification</t>
  </si>
  <si>
    <t>Colour Printer A3size</t>
  </si>
  <si>
    <t>Laser Printer A4 size</t>
  </si>
  <si>
    <t>UPS-1000 VA</t>
  </si>
  <si>
    <t>IPS-1000 VA</t>
  </si>
  <si>
    <t>Photocopy machine</t>
  </si>
  <si>
    <t>Fax machine</t>
  </si>
  <si>
    <r>
      <t>Software</t>
    </r>
    <r>
      <rPr>
        <vertAlign val="superscript"/>
        <sz val="10"/>
        <rFont val="Times New Roman"/>
        <family val="1"/>
      </rPr>
      <t>*</t>
    </r>
  </si>
  <si>
    <t xml:space="preserve">Total Proquerment cost for the Moymensing municipality mouza </t>
  </si>
  <si>
    <t>I</t>
  </si>
  <si>
    <t>Local Area Network (LAN)(L.S.)</t>
  </si>
  <si>
    <t>Greater Mymensing Strucutre Plan area</t>
  </si>
  <si>
    <t>Greater Mymensing Municpality urban plan area</t>
  </si>
  <si>
    <t>Hydro-Geological Engineering Survey (3 Boreholes/sq.km in urban area)(43 x 3 = 129 nos.)</t>
  </si>
  <si>
    <t>Structure Plan Area_2.5 meter 3D color new image- the minimum price would be (1/2  scene:1800 sq. km) 15.00 USD/sq.km</t>
  </si>
  <si>
    <t>Jr. GIS/RS Expert</t>
  </si>
  <si>
    <t>Vat+IT (15+10=25%) on A</t>
  </si>
  <si>
    <t>Total Consultancy during Survey work</t>
  </si>
  <si>
    <t>Vat+IT (15+10=25%) on B</t>
  </si>
  <si>
    <t>Total(B+C)</t>
  </si>
  <si>
    <t>Grand Consultancy cost for Survey &amp; Planning Works</t>
  </si>
  <si>
    <t>Provided by CDMP</t>
  </si>
  <si>
    <t>Procurement of mouza maps (1000 nos. sheet in paurashava)*</t>
  </si>
  <si>
    <t>Scanning of Mouza map, Digitization, Editing, Geo referencing, Printing etc (1000 sheet)</t>
  </si>
  <si>
    <t>No. of units(ac.)</t>
  </si>
  <si>
    <t>Grand total (Furniture+Office+Car)</t>
  </si>
  <si>
    <t>c. Auto CAD Map 2011 including hands on training inclusive</t>
  </si>
  <si>
    <t>Total cost in Tk. Lacs</t>
  </si>
  <si>
    <t>Tk. Lacs</t>
  </si>
  <si>
    <t>S/N</t>
  </si>
  <si>
    <t>Item</t>
  </si>
  <si>
    <t>Unit</t>
  </si>
  <si>
    <t xml:space="preserve"> Computers</t>
  </si>
  <si>
    <t xml:space="preserve"> Space</t>
  </si>
  <si>
    <t xml:space="preserve"> Accessories</t>
  </si>
  <si>
    <t xml:space="preserve"> Refreshment</t>
  </si>
  <si>
    <t>Total (TK.)</t>
  </si>
  <si>
    <t>Note</t>
  </si>
  <si>
    <t>Cost/unit/Day</t>
  </si>
  <si>
    <t>working Day</t>
  </si>
  <si>
    <t>Total costing for beginners at UDD</t>
  </si>
  <si>
    <t>Provided by UDD at the conference room</t>
  </si>
  <si>
    <t>Provided by CDMP &amp; these system has been calculated separately.</t>
  </si>
  <si>
    <t>Provided by CDMP &amp; Exhausted by UDD</t>
  </si>
  <si>
    <t xml:space="preserve">including 180 working days are not been </t>
  </si>
  <si>
    <t>Pre-request for GIS/RS Training for UDD Personals</t>
  </si>
  <si>
    <t>No. of Trainees per slot: 10 max at a time</t>
  </si>
  <si>
    <t>No. of Trainees per slot: 05 max at a time</t>
  </si>
  <si>
    <t>No. of Trainees per slot: 07 max at a time</t>
  </si>
  <si>
    <t>calculated in this costing. They will be hired by UNDP rules.</t>
  </si>
  <si>
    <t>Repairing work at Training room</t>
  </si>
  <si>
    <t>Venue: UDD Training room</t>
  </si>
  <si>
    <t>Protecting valuable Computers &amp; Accsessories from dust and moisture.</t>
  </si>
  <si>
    <t>AC at Training room (min. 2 ton.)</t>
  </si>
  <si>
    <t>Training room will be created by providing partition wall.</t>
  </si>
  <si>
    <t>Provided by UDD at the Training room</t>
  </si>
  <si>
    <t>Total costing for Advance training at UDD</t>
  </si>
  <si>
    <t>Total costing for Intermediate training at UDD</t>
  </si>
  <si>
    <t>CAD Operator</t>
  </si>
  <si>
    <t>Mymensingh Strategic Planning Area</t>
  </si>
  <si>
    <t>*Necessary Service (printing, editing,paper etc) charges  for Mouza map preparation by UDD only.</t>
  </si>
  <si>
    <t>for  supervision, checking and Planning works carried out by UDD **</t>
  </si>
  <si>
    <t>F</t>
  </si>
  <si>
    <t>G</t>
  </si>
  <si>
    <t xml:space="preserve">and action plan (43 sq. km This area is for archive image)  will be collected for gathering base information </t>
  </si>
  <si>
    <r>
      <rPr>
        <b/>
        <sz val="9"/>
        <color indexed="8"/>
        <rFont val="Times New Roman"/>
        <family val="1"/>
      </rPr>
      <t>Urban Area (Mymensing 43 sq. km.)</t>
    </r>
    <r>
      <rPr>
        <sz val="9"/>
        <color indexed="8"/>
        <rFont val="Times New Roman"/>
        <family val="1"/>
      </rPr>
      <t xml:space="preserve">_High resolution images with </t>
    </r>
    <r>
      <rPr>
        <b/>
        <sz val="9"/>
        <color indexed="8"/>
        <rFont val="Times New Roman"/>
        <family val="1"/>
      </rPr>
      <t>0.50m resolution</t>
    </r>
    <r>
      <rPr>
        <sz val="9"/>
        <color indexed="8"/>
        <rFont val="Times New Roman"/>
        <family val="1"/>
      </rPr>
      <t xml:space="preserve"> for total urban area </t>
    </r>
  </si>
  <si>
    <t>Laptop Computer (Training + Plan Preparation at UDD)</t>
  </si>
  <si>
    <t>Multimedia Projector with Screen for Planning phase at Mymensing</t>
  </si>
  <si>
    <t xml:space="preserve">Drum Scanner </t>
  </si>
  <si>
    <t xml:space="preserve">Digital Handy Camcorder </t>
  </si>
  <si>
    <t>b. Arc GIS 10 (Arc Info) including hands on training inclusive</t>
  </si>
  <si>
    <t>Total Cost (A+B+C+D)</t>
  </si>
  <si>
    <t>2. Training for Intermediate stage and Costing:</t>
  </si>
  <si>
    <t>3. Training for Advanced stage and Costing:</t>
  </si>
  <si>
    <t>1. Training Schedule (Introductory) and Costing:</t>
  </si>
  <si>
    <t>2. Training Schedule (Intermediate) and Costing:</t>
  </si>
  <si>
    <t>3. Training Schedule (Advanced) and Costing:</t>
  </si>
  <si>
    <t>4. Total costing for GIS/RS Training</t>
  </si>
  <si>
    <t>4. Total costing for GIS/RS Training:</t>
  </si>
  <si>
    <r>
      <rPr>
        <b/>
        <sz val="9"/>
        <rFont val="Times New Roman"/>
        <family val="1"/>
      </rPr>
      <t xml:space="preserve">Urban survey </t>
    </r>
    <r>
      <rPr>
        <sz val="9"/>
        <rFont val="Times New Roman"/>
        <family val="1"/>
      </rPr>
      <t xml:space="preserve">with RTK GPS and total station survey for the urban area </t>
    </r>
    <r>
      <rPr>
        <b/>
        <sz val="9"/>
        <rFont val="Times New Roman"/>
        <family val="1"/>
      </rPr>
      <t>(42.33 sq. km</t>
    </r>
    <r>
      <rPr>
        <sz val="9"/>
        <rFont val="Times New Roman"/>
        <family val="1"/>
      </rPr>
      <t>./</t>
    </r>
    <r>
      <rPr>
        <b/>
        <sz val="9"/>
        <rFont val="Times New Roman"/>
        <family val="1"/>
      </rPr>
      <t>10462 acres</t>
    </r>
    <r>
      <rPr>
        <sz val="9"/>
        <rFont val="Times New Roman"/>
        <family val="1"/>
      </rPr>
      <t>) of project area.</t>
    </r>
  </si>
  <si>
    <t>Grand Cost for procurement of Image (.5m resolution 3D Image)</t>
  </si>
  <si>
    <t xml:space="preserve"> (Taka in lacs.)</t>
  </si>
  <si>
    <t>In Lacs Tk.</t>
  </si>
  <si>
    <t>* Mymensingh Strategic Development Area (MSDA)</t>
  </si>
  <si>
    <t xml:space="preserve">Appendix – I : Estimate  Salaries of Personnel and Supporting staff </t>
  </si>
  <si>
    <t xml:space="preserve">Appendix –01: Procurement of Computers (Hardware &amp; Software) and other Equipments for </t>
  </si>
  <si>
    <t xml:space="preserve">site office at Mymensing &amp; Training room (GIS/RS Lab) at UDD. </t>
  </si>
  <si>
    <t>1. Training for Introductory/Basic course and Costing:</t>
  </si>
  <si>
    <t>Provided by CDMP (Monthly USD 3000)</t>
  </si>
  <si>
    <t>The expanses for the total 07 consultants (National/International)</t>
  </si>
  <si>
    <t>Printing of Plan Book (100 x 5= 500 nos. Composite Planning Documents)</t>
  </si>
  <si>
    <r>
      <rPr>
        <sz val="11"/>
        <rFont val="Times New Roman"/>
        <family val="1"/>
      </rPr>
      <t xml:space="preserve"> </t>
    </r>
    <r>
      <rPr>
        <b/>
        <sz val="11"/>
        <rFont val="Times New Roman"/>
        <family val="1"/>
      </rPr>
      <t>Estimate for  Scanning of Mouza Map, digitization, Editing, printing etc  by the UDD</t>
    </r>
    <r>
      <rPr>
        <b/>
        <vertAlign val="superscript"/>
        <sz val="11"/>
        <rFont val="Times New Roman"/>
        <family val="1"/>
      </rPr>
      <t>*</t>
    </r>
  </si>
  <si>
    <t>Detailed in Annex-01</t>
  </si>
  <si>
    <t>Municipality area (1000 nos. sheets in total approx.)</t>
  </si>
  <si>
    <t xml:space="preserve"> Profit 0% of (A+B)</t>
  </si>
  <si>
    <t>VAT 0% of (A+B+C)</t>
  </si>
  <si>
    <t>Total cost (BDT) in lacs.</t>
  </si>
  <si>
    <t>Executing Agency (CDMP/UDD)</t>
  </si>
  <si>
    <t>for training of UDD personal</t>
  </si>
  <si>
    <t>table, three(03) drawing table, Twenty one (21) chairs]</t>
  </si>
  <si>
    <t>UDD</t>
  </si>
  <si>
    <t>for Mymensingh Strategic Planning Area (MSPA)</t>
  </si>
  <si>
    <r>
      <rPr>
        <b/>
        <sz val="9"/>
        <rFont val="Times New Roman"/>
        <family val="1"/>
      </rPr>
      <t>Rural survey</t>
    </r>
    <r>
      <rPr>
        <sz val="9"/>
        <rFont val="Times New Roman"/>
        <family val="1"/>
      </rPr>
      <t xml:space="preserve"> with Satellite image and ground-checking of major settlements through RTK GPS and total station survey for the rural area </t>
    </r>
    <r>
      <rPr>
        <b/>
        <sz val="9"/>
        <rFont val="Times New Roman"/>
        <family val="1"/>
      </rPr>
      <t>(209.37 sq.km./51738 acres)</t>
    </r>
    <r>
      <rPr>
        <sz val="9"/>
        <rFont val="Times New Roman"/>
        <family val="1"/>
      </rPr>
      <t xml:space="preserve"> </t>
    </r>
  </si>
  <si>
    <t>for Mymensing Strategic Planning Area (MSPA) including</t>
  </si>
  <si>
    <t>Hydro-Geological Engineering Survey (Boreholes nos. 129)</t>
  </si>
  <si>
    <t>Executing Agency (UDD)</t>
  </si>
  <si>
    <t>Executing Agency (CDMP)</t>
  </si>
  <si>
    <t>Detailed in Annex-10</t>
  </si>
  <si>
    <t>See References</t>
  </si>
  <si>
    <t>Grand Total Cost ( % )</t>
  </si>
  <si>
    <t>Total fund will be provided by CDMP</t>
  </si>
  <si>
    <r>
      <t xml:space="preserve">Appendix – 3: </t>
    </r>
    <r>
      <rPr>
        <b/>
        <sz val="9"/>
        <rFont val="Times New Roman"/>
        <family val="1"/>
      </rPr>
      <t>Estimate of Salaries of  Key Personnel  for Survey /Studies and relevant reports  preparation by the Consultants</t>
    </r>
    <r>
      <rPr>
        <b/>
        <sz val="12"/>
        <rFont val="Times New Roman"/>
        <family val="1"/>
      </rPr>
      <t>.</t>
    </r>
    <r>
      <rPr>
        <b/>
        <sz val="11"/>
        <rFont val="Times New Roman"/>
        <family val="1"/>
      </rPr>
      <t xml:space="preserve">                                                                </t>
    </r>
    <r>
      <rPr>
        <b/>
        <sz val="10"/>
        <rFont val="Times New Roman"/>
        <family val="1"/>
      </rPr>
      <t>(Tk. in lakh)</t>
    </r>
  </si>
  <si>
    <t>Appendix –4: Procurement of Satellite Images for preparing Base map for physical feature survey    (Taka in Lacs)</t>
  </si>
  <si>
    <t xml:space="preserve">Appendix -7: Estimate of procurement of Mouza map from DLR office.          </t>
  </si>
  <si>
    <t>Detailed in Annex-3</t>
  </si>
  <si>
    <t>Detailed in Annex-4</t>
  </si>
  <si>
    <t>Detailed in Annex-5</t>
  </si>
  <si>
    <t>Appendix-6:</t>
  </si>
  <si>
    <t>Detailed in Annex-6</t>
  </si>
  <si>
    <t>Detailed in Annex-7</t>
  </si>
  <si>
    <t>Detailed in Annex-8</t>
  </si>
  <si>
    <t>Detailed in Annex-9</t>
  </si>
  <si>
    <t xml:space="preserve">Appendix –9_A: Estimate for Rental of Site Office  </t>
  </si>
  <si>
    <t>Appendix –9_B: Estimate of Furniture at  Site Offices, Mymensing</t>
  </si>
  <si>
    <t>Appendix 9-C: Estimate for Rental of Car and Fuel Cost</t>
  </si>
  <si>
    <t xml:space="preserve">Appendix –10: Estimate of other expenditure (Workshops, PRA, Seminar, Honorarium and Contingency)       </t>
  </si>
  <si>
    <r>
      <t xml:space="preserve">Procurement of </t>
    </r>
    <r>
      <rPr>
        <b/>
        <sz val="8"/>
        <rFont val="Times New Roman"/>
        <family val="1"/>
      </rPr>
      <t>Mouza maps</t>
    </r>
    <r>
      <rPr>
        <sz val="8"/>
        <rFont val="Times New Roman"/>
        <family val="1"/>
      </rPr>
      <t xml:space="preserve"> for Mymensing</t>
    </r>
  </si>
  <si>
    <r>
      <rPr>
        <b/>
        <sz val="8"/>
        <rFont val="Times New Roman"/>
        <family val="1"/>
      </rPr>
      <t>Scanning, digitization, editing, geo-referencing</t>
    </r>
    <r>
      <rPr>
        <sz val="8"/>
        <rFont val="Times New Roman"/>
        <family val="1"/>
      </rPr>
      <t xml:space="preserve"> and</t>
    </r>
  </si>
  <si>
    <r>
      <t xml:space="preserve">printing etc for </t>
    </r>
    <r>
      <rPr>
        <b/>
        <sz val="8"/>
        <rFont val="Times New Roman"/>
        <family val="1"/>
      </rPr>
      <t>1000 sheets</t>
    </r>
    <r>
      <rPr>
        <sz val="8"/>
        <rFont val="Times New Roman"/>
        <family val="1"/>
      </rPr>
      <t xml:space="preserve"> for Mymensing area(1600000 acre)</t>
    </r>
  </si>
  <si>
    <r>
      <rPr>
        <b/>
        <sz val="8"/>
        <rFont val="Times New Roman"/>
        <family val="1"/>
      </rPr>
      <t>Rent of Site Office</t>
    </r>
    <r>
      <rPr>
        <sz val="8"/>
        <rFont val="Times New Roman"/>
        <family val="1"/>
      </rPr>
      <t xml:space="preserve">   at Mymensing Municipality </t>
    </r>
  </si>
  <si>
    <r>
      <rPr>
        <b/>
        <sz val="8"/>
        <rFont val="Times New Roman"/>
        <family val="1"/>
      </rPr>
      <t>Rent of car and fuel</t>
    </r>
    <r>
      <rPr>
        <sz val="8"/>
        <rFont val="Times New Roman"/>
        <family val="1"/>
      </rPr>
      <t xml:space="preserve"> cost for six (06) months during</t>
    </r>
  </si>
  <si>
    <r>
      <rPr>
        <b/>
        <sz val="8"/>
        <rFont val="Times New Roman"/>
        <family val="1"/>
      </rPr>
      <t xml:space="preserve">Different type of survey </t>
    </r>
    <r>
      <rPr>
        <sz val="8"/>
        <rFont val="Times New Roman"/>
        <family val="1"/>
      </rPr>
      <t>works during planning phase</t>
    </r>
  </si>
  <si>
    <r>
      <t>P</t>
    </r>
    <r>
      <rPr>
        <b/>
        <sz val="8"/>
        <rFont val="Times New Roman"/>
        <family val="1"/>
      </rPr>
      <t>hysical feature survey work</t>
    </r>
    <r>
      <rPr>
        <sz val="8"/>
        <rFont val="Times New Roman"/>
        <family val="1"/>
      </rPr>
      <t xml:space="preserve"> with RTK GPS, Total Station, using image</t>
    </r>
  </si>
  <si>
    <r>
      <t xml:space="preserve">One </t>
    </r>
    <r>
      <rPr>
        <b/>
        <sz val="8"/>
        <rFont val="Times New Roman"/>
        <family val="1"/>
      </rPr>
      <t xml:space="preserve">National Seminar </t>
    </r>
    <r>
      <rPr>
        <sz val="8"/>
        <rFont val="Times New Roman"/>
        <family val="1"/>
      </rPr>
      <t xml:space="preserve">in Dhaka </t>
    </r>
  </si>
  <si>
    <r>
      <t xml:space="preserve"> </t>
    </r>
    <r>
      <rPr>
        <b/>
        <sz val="8"/>
        <rFont val="Times New Roman"/>
        <family val="1"/>
      </rPr>
      <t>Public hearing</t>
    </r>
    <r>
      <rPr>
        <sz val="8"/>
        <rFont val="Times New Roman"/>
        <family val="1"/>
      </rPr>
      <t xml:space="preserve">  (Tk. 1 lakh for public hearing)</t>
    </r>
  </si>
  <si>
    <r>
      <rPr>
        <b/>
        <sz val="8"/>
        <rFont val="Times New Roman"/>
        <family val="1"/>
      </rPr>
      <t>Web</t>
    </r>
    <r>
      <rPr>
        <sz val="8"/>
        <rFont val="Times New Roman"/>
        <family val="1"/>
      </rPr>
      <t xml:space="preserve"> Hosting cost (L.S.)</t>
    </r>
  </si>
  <si>
    <r>
      <t>Printing of</t>
    </r>
    <r>
      <rPr>
        <b/>
        <sz val="8"/>
        <rFont val="Times New Roman"/>
        <family val="1"/>
      </rPr>
      <t xml:space="preserve"> Plan Books</t>
    </r>
    <r>
      <rPr>
        <sz val="8"/>
        <rFont val="Times New Roman"/>
        <family val="1"/>
      </rPr>
      <t xml:space="preserve"> (500 copies)</t>
    </r>
  </si>
  <si>
    <r>
      <rPr>
        <b/>
        <sz val="8"/>
        <rFont val="Times New Roman"/>
        <family val="1"/>
      </rPr>
      <t>Furniture for Site Office</t>
    </r>
    <r>
      <rPr>
        <sz val="8"/>
        <rFont val="Times New Roman"/>
        <family val="1"/>
      </rPr>
      <t xml:space="preserve"> at Mymensing Municipality Area [ Six (06) working</t>
    </r>
  </si>
  <si>
    <r>
      <rPr>
        <b/>
        <sz val="8"/>
        <rFont val="Times New Roman"/>
        <family val="1"/>
      </rPr>
      <t>Image</t>
    </r>
    <r>
      <rPr>
        <sz val="8"/>
        <rFont val="Times New Roman"/>
        <family val="1"/>
      </rPr>
      <t xml:space="preserve"> procurement and processing</t>
    </r>
  </si>
  <si>
    <t>Three PRA Session (50person x 3 meetings x 500 TK.)</t>
  </si>
  <si>
    <r>
      <t>Administrative cost and Contingency</t>
    </r>
    <r>
      <rPr>
        <sz val="8"/>
        <rFont val="Times New Roman"/>
        <family val="1"/>
      </rPr>
      <t xml:space="preserve"> (Purchase of stationery, purchase of books and journals, purchase &amp; reproduction of maps, reports, site office maintenance, internet charges,  Telephone/fax,  Advertisements, Electrical goods, Computer accessories, Charges of electrical and computer maintenance etc) (Contingency BDT 2.50 Lacs per Year)</t>
    </r>
  </si>
  <si>
    <t>GIS Workstation complete set (Non-Brand) (Training+Plan preparation at UDD)</t>
  </si>
  <si>
    <t>Hired by CDMP</t>
  </si>
  <si>
    <t>Total number of Item</t>
  </si>
  <si>
    <t xml:space="preserve"> Consultant (International)(01 mm)</t>
  </si>
  <si>
    <t xml:space="preserve"> Consultant(National)(01mm)</t>
  </si>
  <si>
    <t xml:space="preserve"> Consultant (national)(02 mm)</t>
  </si>
  <si>
    <r>
      <rPr>
        <b/>
        <sz val="8"/>
        <rFont val="Times New Roman"/>
        <family val="1"/>
      </rPr>
      <t>Planning</t>
    </r>
    <r>
      <rPr>
        <sz val="8"/>
        <rFont val="Times New Roman"/>
        <family val="1"/>
      </rPr>
      <t xml:space="preserve"> phases </t>
    </r>
    <r>
      <rPr>
        <b/>
        <sz val="8"/>
        <rFont val="Times New Roman"/>
        <family val="1"/>
      </rPr>
      <t>(13 nos. for 70 man-month)</t>
    </r>
  </si>
  <si>
    <r>
      <t xml:space="preserve"> Recruiting of </t>
    </r>
    <r>
      <rPr>
        <b/>
        <sz val="8"/>
        <rFont val="Times New Roman"/>
        <family val="1"/>
      </rPr>
      <t>International consultants (1 nos. for 01 mm)</t>
    </r>
  </si>
  <si>
    <r>
      <t>Three</t>
    </r>
    <r>
      <rPr>
        <b/>
        <sz val="8"/>
        <rFont val="Times New Roman"/>
        <family val="1"/>
      </rPr>
      <t xml:space="preserve"> PRA S</t>
    </r>
    <r>
      <rPr>
        <sz val="8"/>
        <rFont val="Times New Roman"/>
        <family val="1"/>
      </rPr>
      <t>ession (50person x 3 meetings x 800 TK.)</t>
    </r>
  </si>
  <si>
    <r>
      <t xml:space="preserve">Seven Discussion on </t>
    </r>
    <r>
      <rPr>
        <b/>
        <sz val="8"/>
        <rFont val="Times New Roman"/>
        <family val="1"/>
      </rPr>
      <t>working paper</t>
    </r>
    <r>
      <rPr>
        <sz val="8"/>
        <rFont val="Times New Roman"/>
        <family val="1"/>
      </rPr>
      <t xml:space="preserve"> (25persons x 7 meetings x 800 TK)</t>
    </r>
  </si>
  <si>
    <r>
      <t xml:space="preserve">Two  </t>
    </r>
    <r>
      <rPr>
        <b/>
        <sz val="8"/>
        <rFont val="Times New Roman"/>
        <family val="1"/>
      </rPr>
      <t>Workshop</t>
    </r>
    <r>
      <rPr>
        <sz val="8"/>
        <rFont val="Times New Roman"/>
        <family val="1"/>
      </rPr>
      <t xml:space="preserve"> (25 persons x 2 meetings x 800 TK))</t>
    </r>
  </si>
  <si>
    <r>
      <t xml:space="preserve">Three </t>
    </r>
    <r>
      <rPr>
        <b/>
        <sz val="8"/>
        <rFont val="Times New Roman"/>
        <family val="1"/>
      </rPr>
      <t>Planning Workshop</t>
    </r>
    <r>
      <rPr>
        <sz val="8"/>
        <rFont val="Times New Roman"/>
        <family val="1"/>
      </rPr>
      <t xml:space="preserve"> (25 persons x 3 meetings x 800 TK)</t>
    </r>
  </si>
  <si>
    <t>Overhead 0% of A</t>
  </si>
  <si>
    <t>7.Remunaration cost for the consultans ( total 4 mm) has not been included in this calculation.</t>
  </si>
  <si>
    <t>Appendix –02: Training cost for GIS/RS  for UDD Personnal</t>
  </si>
  <si>
    <t>mm</t>
  </si>
  <si>
    <t>nos.</t>
  </si>
  <si>
    <t>Project</t>
  </si>
  <si>
    <r>
      <t>Appendix –8:</t>
    </r>
    <r>
      <rPr>
        <sz val="11"/>
        <rFont val="Times New Roman"/>
        <family val="1"/>
      </rPr>
      <t xml:space="preserve"> </t>
    </r>
    <r>
      <rPr>
        <b/>
        <sz val="11"/>
        <rFont val="Times New Roman"/>
        <family val="1"/>
      </rPr>
      <t>Estimate for Conducting different types of Surveys and Studies by the UDD/Consulting firm</t>
    </r>
    <r>
      <rPr>
        <b/>
        <vertAlign val="superscript"/>
        <sz val="11"/>
        <rFont val="Times New Roman"/>
        <family val="1"/>
      </rPr>
      <t>*</t>
    </r>
  </si>
  <si>
    <t>Sub-Total: Physical feature Survey period</t>
  </si>
  <si>
    <t>Sub-Total: Physical planning work at Mymensingh</t>
  </si>
  <si>
    <t>Two  Workshop (25 persons x 2 meetings x 800 TK))</t>
  </si>
  <si>
    <t>Three Planning Workshop (25 persons x 3 meetings x 800 TK)</t>
  </si>
  <si>
    <t>Recruted by CDMP</t>
  </si>
  <si>
    <t>Time: 4 hrs. per day for two working months (22 x 2 = 44 working days)</t>
  </si>
  <si>
    <t>Time: 4 hrs. per day for one working months (22 x 1 = 22 working days)</t>
  </si>
  <si>
    <t>GIS Workstation complete set (Brand) (GIS Lab.+Plan preparation at UDD)</t>
  </si>
  <si>
    <t>Plotter (HP or equivalent)</t>
  </si>
  <si>
    <r>
      <t>Appendix –5:</t>
    </r>
    <r>
      <rPr>
        <sz val="11"/>
        <rFont val="Times New Roman"/>
        <family val="1"/>
      </rPr>
      <t xml:space="preserve"> </t>
    </r>
    <r>
      <rPr>
        <b/>
        <sz val="11"/>
        <rFont val="Times New Roman"/>
        <family val="1"/>
      </rPr>
      <t>Estimate for  Conducting  Physical feature Surveys and Studies by the Consulting firm</t>
    </r>
    <r>
      <rPr>
        <b/>
        <vertAlign val="superscript"/>
        <sz val="11"/>
        <rFont val="Times New Roman"/>
        <family val="1"/>
      </rPr>
      <t>*</t>
    </r>
  </si>
  <si>
    <t>* Consulting firm will be selected according to UNDP system and supevised by both CDMP and UDD Team.</t>
  </si>
  <si>
    <t>Seven Discussion meetings on working paper (25persons x 7 meetings x 800 TK)</t>
  </si>
  <si>
    <t>Printing Paper, Cartages, Toners, Offset paper, accessories etc.(BDT 2.5 Lacs per Year)</t>
  </si>
  <si>
    <r>
      <t>Three TMC Meeting (10 Persons × 3</t>
    </r>
    <r>
      <rPr>
        <b/>
        <sz val="10"/>
        <rFont val="Times New Roman"/>
        <family val="1"/>
      </rPr>
      <t xml:space="preserve"> </t>
    </r>
    <r>
      <rPr>
        <sz val="10"/>
        <rFont val="Times New Roman"/>
        <family val="1"/>
      </rPr>
      <t xml:space="preserve">Meetings ×10000 Tk) </t>
    </r>
  </si>
  <si>
    <t>Organization</t>
  </si>
  <si>
    <t>Physical plan preparation period at Mymensing</t>
  </si>
  <si>
    <t>Transport and Daily allowances for UDD staffs in Mymensingh Municipality Area which will be provided by CDMP.</t>
  </si>
  <si>
    <t xml:space="preserve">Total TD-DA allowances for UDD personnal from CDMP </t>
  </si>
  <si>
    <r>
      <rPr>
        <b/>
        <sz val="8"/>
        <rFont val="Times New Roman"/>
        <family val="1"/>
      </rPr>
      <t>Daily allowance</t>
    </r>
    <r>
      <rPr>
        <sz val="8"/>
        <rFont val="Times New Roman"/>
        <family val="1"/>
      </rPr>
      <t xml:space="preserve"> for </t>
    </r>
    <r>
      <rPr>
        <b/>
        <sz val="8"/>
        <rFont val="Times New Roman"/>
        <family val="1"/>
      </rPr>
      <t>10 (ten) support services</t>
    </r>
    <r>
      <rPr>
        <sz val="8"/>
        <rFont val="Times New Roman"/>
        <family val="1"/>
      </rPr>
      <t xml:space="preserve"> during</t>
    </r>
  </si>
  <si>
    <t>(55 days 3persons x TK. 800per day)</t>
  </si>
  <si>
    <t>Planning phase for 120 days at Mymensing municipality</t>
  </si>
  <si>
    <r>
      <rPr>
        <b/>
        <sz val="8"/>
        <rFont val="Times New Roman"/>
        <family val="1"/>
      </rPr>
      <t>Daily allowance</t>
    </r>
    <r>
      <rPr>
        <sz val="8"/>
        <rFont val="Times New Roman"/>
        <family val="1"/>
      </rPr>
      <t xml:space="preserve"> for </t>
    </r>
    <r>
      <rPr>
        <b/>
        <sz val="8"/>
        <rFont val="Times New Roman"/>
        <family val="1"/>
      </rPr>
      <t>03 (three) Officers</t>
    </r>
    <r>
      <rPr>
        <sz val="8"/>
        <rFont val="Times New Roman"/>
        <family val="1"/>
      </rPr>
      <t xml:space="preserve"> during</t>
    </r>
  </si>
  <si>
    <r>
      <rPr>
        <b/>
        <sz val="8"/>
        <rFont val="Times New Roman"/>
        <family val="1"/>
      </rPr>
      <t xml:space="preserve">TMC </t>
    </r>
    <r>
      <rPr>
        <sz val="8"/>
        <rFont val="Times New Roman"/>
        <family val="1"/>
      </rPr>
      <t>Meeting (10 Persons × 3</t>
    </r>
    <r>
      <rPr>
        <b/>
        <sz val="8"/>
        <rFont val="Times New Roman"/>
        <family val="1"/>
      </rPr>
      <t xml:space="preserve"> </t>
    </r>
    <r>
      <rPr>
        <sz val="8"/>
        <rFont val="Times New Roman"/>
        <family val="1"/>
      </rPr>
      <t xml:space="preserve">Meetings × 10,000 Tk) </t>
    </r>
  </si>
  <si>
    <r>
      <t xml:space="preserve">Printing </t>
    </r>
    <r>
      <rPr>
        <b/>
        <sz val="8"/>
        <rFont val="Times New Roman"/>
        <family val="1"/>
      </rPr>
      <t>Paper, Cartages, Toners</t>
    </r>
    <r>
      <rPr>
        <sz val="8"/>
        <rFont val="Times New Roman"/>
        <family val="1"/>
      </rPr>
      <t>, Offset paper, accessories etc. for planning.</t>
    </r>
  </si>
  <si>
    <r>
      <t>Recruiting of</t>
    </r>
    <r>
      <rPr>
        <b/>
        <sz val="8"/>
        <rFont val="Times New Roman"/>
        <family val="1"/>
      </rPr>
      <t xml:space="preserve"> National consultants (3 nos. for 03 mm)</t>
    </r>
  </si>
  <si>
    <r>
      <t xml:space="preserve">Recruiting of different </t>
    </r>
    <r>
      <rPr>
        <b/>
        <sz val="8"/>
        <rFont val="Times New Roman"/>
        <family val="1"/>
      </rPr>
      <t>consultants during survey</t>
    </r>
    <r>
      <rPr>
        <sz val="8"/>
        <rFont val="Times New Roman"/>
        <family val="1"/>
      </rPr>
      <t xml:space="preserve"> and </t>
    </r>
  </si>
  <si>
    <t>All National and International Consultants for GIS Training for UDD Officials, surveyor and Draftsman will be hired from separate budget and not included into cost calculation.</t>
  </si>
  <si>
    <r>
      <rPr>
        <b/>
        <sz val="8"/>
        <rFont val="Times New Roman"/>
        <family val="1"/>
      </rPr>
      <t xml:space="preserve">Equipments (27nos.) for GIS Lab </t>
    </r>
    <r>
      <rPr>
        <sz val="8"/>
        <rFont val="Times New Roman"/>
        <family val="1"/>
      </rPr>
      <t>for UDD Office</t>
    </r>
  </si>
  <si>
    <r>
      <t xml:space="preserve">Physical feature </t>
    </r>
    <r>
      <rPr>
        <b/>
        <sz val="8"/>
        <rFont val="Times New Roman"/>
        <family val="1"/>
      </rPr>
      <t>survey checking field cost</t>
    </r>
    <r>
      <rPr>
        <sz val="8"/>
        <rFont val="Times New Roman"/>
        <family val="1"/>
      </rPr>
      <t xml:space="preserve"> by 03</t>
    </r>
    <r>
      <rPr>
        <b/>
        <sz val="8"/>
        <rFont val="Times New Roman"/>
        <family val="1"/>
      </rPr>
      <t xml:space="preserve"> surveyor</t>
    </r>
    <r>
      <rPr>
        <sz val="8"/>
        <rFont val="Times New Roman"/>
        <family val="1"/>
      </rPr>
      <t xml:space="preserve"> &amp; </t>
    </r>
  </si>
  <si>
    <r>
      <t xml:space="preserve">Physical feature </t>
    </r>
    <r>
      <rPr>
        <b/>
        <sz val="8"/>
        <rFont val="Times New Roman"/>
        <family val="1"/>
      </rPr>
      <t>survey checking field cost</t>
    </r>
    <r>
      <rPr>
        <sz val="8"/>
        <rFont val="Times New Roman"/>
        <family val="1"/>
      </rPr>
      <t xml:space="preserve"> by 03 </t>
    </r>
    <r>
      <rPr>
        <b/>
        <sz val="8"/>
        <rFont val="Times New Roman"/>
        <family val="1"/>
      </rPr>
      <t>Officers</t>
    </r>
  </si>
  <si>
    <t>( 10 persons x 120 days x TK. 120)</t>
  </si>
  <si>
    <r>
      <t>03</t>
    </r>
    <r>
      <rPr>
        <b/>
        <sz val="8"/>
        <rFont val="Times New Roman"/>
        <family val="1"/>
      </rPr>
      <t xml:space="preserve"> draftsman</t>
    </r>
    <r>
      <rPr>
        <sz val="8"/>
        <rFont val="Times New Roman"/>
        <family val="1"/>
      </rPr>
      <t xml:space="preserve"> for 90 (ninety)days at Mymensing with equipments</t>
    </r>
  </si>
  <si>
    <t xml:space="preserve"> for 55 (fifty five)days at Mymensingh with equipments</t>
  </si>
  <si>
    <t>120 days ( 24 weeks) (10 nos. 3rd &amp; 4th class, DA: TK. 120 per person per day)</t>
  </si>
  <si>
    <t>120 days ( 24 weeks) (3 nos. 1st class, DA: TK. 300 per person per day)</t>
  </si>
  <si>
    <t>( 03 persons x 120 days x TK. 350)</t>
  </si>
  <si>
    <t>(90 days 6persons x TK. 300 per day)</t>
  </si>
  <si>
    <t>90 working days ( 18weeks) (06 nos. surveyors and draftsmen of 3rd-4th class, TA-DA:TK. 300 per person per day)</t>
  </si>
  <si>
    <t>55 working days (11 weeks) (03 Officers of 1st class, TA-DA: TK. 500 per person per day)</t>
  </si>
  <si>
    <t>Planning phase (rent-40000+fule-20000=total-60000)</t>
  </si>
  <si>
    <t>7782,14,57,000</t>
  </si>
  <si>
    <r>
      <t>Administrative cost &amp; Contingency</t>
    </r>
    <r>
      <rPr>
        <sz val="10"/>
        <rFont val="Times New Roman"/>
        <family val="1"/>
      </rPr>
      <t xml:space="preserve"> (Purchase of stationery, purchase of books and journals, purchase &amp; reproduction of maps, reports, site office maintenance, internet charges,  Telephone/fax,  Advertisements, Electrical goods, Computer accessories, Charges of electrical and computer maintenance etc) (Contingency BDT 2.5 Lacs per Year)</t>
    </r>
  </si>
  <si>
    <r>
      <rPr>
        <b/>
        <sz val="8"/>
        <rFont val="Times New Roman"/>
        <family val="1"/>
      </rPr>
      <t>Refreshment &amp; Accessories</t>
    </r>
    <r>
      <rPr>
        <sz val="8"/>
        <rFont val="Times New Roman"/>
        <family val="1"/>
      </rPr>
      <t xml:space="preserve"> cost during GIS training at UDD training room</t>
    </r>
  </si>
  <si>
    <t>Transport Survey</t>
  </si>
  <si>
    <t>Node (nos.)</t>
  </si>
  <si>
    <t>Duration
(5day+5night)</t>
  </si>
  <si>
    <t>6 persons per node (3 person/ one way)</t>
  </si>
  <si>
    <t>Remuneration per surveyor (day 500+night 250)</t>
  </si>
  <si>
    <t>*including data entry</t>
  </si>
  <si>
    <t>Population (2.5% of population)</t>
  </si>
  <si>
    <t>Cost per questionnaire*</t>
  </si>
  <si>
    <t>* Cost include questionnaire preparation, survey and data entry</t>
  </si>
  <si>
    <t>LS*</t>
  </si>
  <si>
    <t>Area (acre)</t>
  </si>
  <si>
    <t>Unit cost per acre</t>
  </si>
  <si>
    <t>Coments</t>
  </si>
  <si>
    <t>1. Socio-economic</t>
  </si>
  <si>
    <t>2. Soil &amp; Agriculture (Secondary)</t>
  </si>
  <si>
    <t>3. Environmental Studies (both secondary and primary)</t>
  </si>
  <si>
    <t>4. Hydrological Studies (Secondary)</t>
  </si>
  <si>
    <t>Total Project Cost will be  TK. 3,22,46,000.00 (Three corer Twenty Two Lacs Forty Six Thousand) Only.</t>
  </si>
  <si>
    <t xml:space="preserve">All National and International Consultants for GIS Training for UDD Officials, surveyor and </t>
  </si>
  <si>
    <t>Draftsman will be hired from separate budget and not included into cost calculation.</t>
  </si>
  <si>
    <t>Detailed of Different type of Survey will be conducted by UDD:</t>
  </si>
  <si>
    <t>at Mymensing municipality area (10400acre &amp; TK. 200 per acre)).</t>
  </si>
  <si>
    <t>(90 days x 6persons x TA.-DA. TK. 300 per day)</t>
  </si>
  <si>
    <t>(55 days x 3persons x TA. TK. 500per day)</t>
  </si>
  <si>
    <t>( 10 persons x 120 days x  DA.TK. 120)</t>
  </si>
  <si>
    <t>( 03 persons x 120 days x DA. TK. 350)</t>
  </si>
  <si>
    <r>
      <t>Three</t>
    </r>
    <r>
      <rPr>
        <b/>
        <sz val="8"/>
        <rFont val="Times New Roman"/>
        <family val="1"/>
      </rPr>
      <t xml:space="preserve"> PRA S</t>
    </r>
    <r>
      <rPr>
        <sz val="8"/>
        <rFont val="Times New Roman"/>
        <family val="1"/>
      </rPr>
      <t>ession (50person x 3 meetings x 500 TK.)</t>
    </r>
  </si>
  <si>
    <r>
      <t>Printing of</t>
    </r>
    <r>
      <rPr>
        <b/>
        <sz val="8"/>
        <rFont val="Times New Roman"/>
        <family val="1"/>
      </rPr>
      <t xml:space="preserve"> Plan Books</t>
    </r>
    <r>
      <rPr>
        <sz val="8"/>
        <rFont val="Times New Roman"/>
        <family val="1"/>
      </rPr>
      <t xml:space="preserve"> (SP100+UP100+Ap100+DP100+Ex.Sum.Ben100=500 copies)</t>
    </r>
  </si>
  <si>
    <r>
      <t>Total Trainees:</t>
    </r>
    <r>
      <rPr>
        <b/>
        <sz val="9"/>
        <rFont val="Arial"/>
        <family val="2"/>
      </rPr>
      <t xml:space="preserve"> 30</t>
    </r>
    <r>
      <rPr>
        <sz val="9"/>
        <rFont val="Arial"/>
        <family val="2"/>
      </rPr>
      <t xml:space="preserve"> nos.</t>
    </r>
  </si>
  <si>
    <r>
      <t xml:space="preserve">Total Trainees: </t>
    </r>
    <r>
      <rPr>
        <b/>
        <sz val="9"/>
        <rFont val="Arial"/>
        <family val="2"/>
      </rPr>
      <t xml:space="preserve">15 </t>
    </r>
    <r>
      <rPr>
        <sz val="9"/>
        <rFont val="Arial"/>
        <family val="2"/>
      </rPr>
      <t>nos.</t>
    </r>
  </si>
  <si>
    <r>
      <t xml:space="preserve">Total Trainees: </t>
    </r>
    <r>
      <rPr>
        <b/>
        <sz val="9"/>
        <rFont val="Arial"/>
        <family val="2"/>
      </rPr>
      <t>09</t>
    </r>
    <r>
      <rPr>
        <sz val="9"/>
        <rFont val="Arial"/>
        <family val="2"/>
      </rPr>
      <t xml:space="preserve"> nos.</t>
    </r>
  </si>
  <si>
    <t>needed @ USD45 per sq. km considering Tk 71 per USD (For New Acquisition (Color) 3D image -</t>
  </si>
  <si>
    <r>
      <t xml:space="preserve"> minimum area for individual </t>
    </r>
    <r>
      <rPr>
        <b/>
        <sz val="9"/>
        <color indexed="8"/>
        <rFont val="Times New Roman"/>
        <family val="1"/>
      </rPr>
      <t>area must be 100 sq.km</t>
    </r>
    <r>
      <rPr>
        <sz val="9"/>
        <color indexed="8"/>
        <rFont val="Times New Roman"/>
        <family val="1"/>
      </rPr>
      <t xml:space="preserve">. </t>
    </r>
    <r>
      <rPr>
        <b/>
        <sz val="9"/>
        <color indexed="8"/>
        <rFont val="Times New Roman"/>
        <family val="1"/>
      </rPr>
      <t>For DTM/DEM we need 3D image – USD 45</t>
    </r>
    <r>
      <rPr>
        <sz val="9"/>
        <color indexed="8"/>
        <rFont val="Times New Roman"/>
        <family val="1"/>
      </rPr>
      <t>)</t>
    </r>
  </si>
  <si>
    <t>Detailed Breakdown of the cost of  Mymensingh Strategic Development Planning Project Area.</t>
  </si>
  <si>
    <r>
      <rPr>
        <b/>
        <sz val="8"/>
        <rFont val="Times New Roman"/>
        <family val="1"/>
      </rPr>
      <t xml:space="preserve">Equipments  for GIS Lab </t>
    </r>
    <r>
      <rPr>
        <sz val="8"/>
        <rFont val="Times New Roman"/>
        <family val="1"/>
      </rPr>
      <t>for UDD Office</t>
    </r>
  </si>
  <si>
    <t>Annex III: The Detailed Breakdown of the cost of each activity</t>
  </si>
  <si>
    <t>Total Project Cost will be  TK. 3,62,74,377.00 (Three corer Sixty Two Lacs Seventy Five Thousand) Only.</t>
  </si>
  <si>
    <t>Administration</t>
  </si>
  <si>
    <t>Account</t>
  </si>
  <si>
    <t>UDD(taufique/ Fazlul/Akhter/Uday)</t>
  </si>
  <si>
    <t>UDD (Mujibur Rahman/Akhtar)</t>
  </si>
  <si>
    <t>Sociologist</t>
  </si>
  <si>
    <t>UDD( Shafiq)</t>
  </si>
  <si>
    <t>UDD(Abdur Rahman/Ahsan Habib)</t>
  </si>
  <si>
    <t>Provided by CDMP (Maqsud/Ahsan Habib)</t>
  </si>
  <si>
    <t>UDD(Taufique/Shaheen/ Fazlul)</t>
  </si>
  <si>
    <t>UDD(Akter/Fazlul/ Mahmud)</t>
  </si>
  <si>
    <t>UDD(Fazlul/Ahsan Habib)</t>
  </si>
</sst>
</file>

<file path=xl/styles.xml><?xml version="1.0" encoding="utf-8"?>
<styleSheet xmlns="http://schemas.openxmlformats.org/spreadsheetml/2006/main">
  <numFmts count="24">
    <numFmt numFmtId="5" formatCode="&quot;Tk.&quot;#,##0_);\(&quot;Tk.&quot;#,##0\)"/>
    <numFmt numFmtId="6" formatCode="&quot;Tk.&quot;#,##0_);[Red]\(&quot;Tk.&quot;#,##0\)"/>
    <numFmt numFmtId="7" formatCode="&quot;Tk.&quot;#,##0.00_);\(&quot;Tk.&quot;#,##0.00\)"/>
    <numFmt numFmtId="8" formatCode="&quot;Tk.&quot;#,##0.00_);[Red]\(&quot;Tk.&quot;#,##0.00\)"/>
    <numFmt numFmtId="42" formatCode="_(&quot;Tk.&quot;* #,##0_);_(&quot;Tk.&quot;* \(#,##0\);_(&quot;Tk.&quot;* &quot;-&quot;_);_(@_)"/>
    <numFmt numFmtId="41" formatCode="_(* #,##0_);_(* \(#,##0\);_(* &quot;-&quot;_);_(@_)"/>
    <numFmt numFmtId="44" formatCode="_(&quot;Tk.&quot;* #,##0.00_);_(&quot;Tk.&quot;* \(#,##0.00\);_(&quot;Tk.&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
    <numFmt numFmtId="175" formatCode="0.0000"/>
    <numFmt numFmtId="176" formatCode="0.000"/>
    <numFmt numFmtId="177" formatCode="0.0"/>
    <numFmt numFmtId="178" formatCode="0.0000000"/>
    <numFmt numFmtId="179" formatCode="0.000000"/>
  </numFmts>
  <fonts count="75">
    <font>
      <sz val="10"/>
      <name val="Arial"/>
      <family val="0"/>
    </font>
    <font>
      <sz val="8"/>
      <name val="Arial"/>
      <family val="0"/>
    </font>
    <font>
      <sz val="10"/>
      <name val="Times New Roman"/>
      <family val="1"/>
    </font>
    <font>
      <b/>
      <sz val="12"/>
      <name val="Times New Roman"/>
      <family val="1"/>
    </font>
    <font>
      <b/>
      <sz val="10"/>
      <name val="Times New Roman"/>
      <family val="1"/>
    </font>
    <font>
      <b/>
      <vertAlign val="superscript"/>
      <sz val="10"/>
      <name val="Times New Roman"/>
      <family val="1"/>
    </font>
    <font>
      <sz val="9"/>
      <name val="Times New Roman"/>
      <family val="1"/>
    </font>
    <font>
      <b/>
      <sz val="11"/>
      <name val="Times New Roman"/>
      <family val="1"/>
    </font>
    <font>
      <b/>
      <sz val="9"/>
      <name val="Times New Roman"/>
      <family val="1"/>
    </font>
    <font>
      <b/>
      <sz val="8"/>
      <name val="Times New Roman"/>
      <family val="1"/>
    </font>
    <font>
      <b/>
      <vertAlign val="superscript"/>
      <sz val="9"/>
      <name val="Times New Roman"/>
      <family val="1"/>
    </font>
    <font>
      <sz val="8"/>
      <name val="Times New Roman"/>
      <family val="1"/>
    </font>
    <font>
      <u val="single"/>
      <sz val="10"/>
      <color indexed="12"/>
      <name val="Arial"/>
      <family val="0"/>
    </font>
    <font>
      <u val="single"/>
      <sz val="10"/>
      <color indexed="36"/>
      <name val="Arial"/>
      <family val="0"/>
    </font>
    <font>
      <sz val="11"/>
      <name val="Times New Roman"/>
      <family val="1"/>
    </font>
    <font>
      <b/>
      <sz val="10"/>
      <name val="Arial"/>
      <family val="2"/>
    </font>
    <font>
      <sz val="11"/>
      <name val="Arial"/>
      <family val="0"/>
    </font>
    <font>
      <sz val="9"/>
      <name val="Arial"/>
      <family val="0"/>
    </font>
    <font>
      <sz val="10"/>
      <color indexed="10"/>
      <name val="Arial"/>
      <family val="2"/>
    </font>
    <font>
      <b/>
      <sz val="11"/>
      <name val="Arial"/>
      <family val="2"/>
    </font>
    <font>
      <b/>
      <sz val="12"/>
      <color indexed="10"/>
      <name val="Times New Roman"/>
      <family val="1"/>
    </font>
    <font>
      <b/>
      <sz val="9"/>
      <name val="Arial"/>
      <family val="2"/>
    </font>
    <font>
      <sz val="3.5"/>
      <name val="Times New Roman"/>
      <family val="1"/>
    </font>
    <font>
      <sz val="10"/>
      <color indexed="10"/>
      <name val="Times New Roman"/>
      <family val="1"/>
    </font>
    <font>
      <b/>
      <sz val="14"/>
      <name val="Times New Roman"/>
      <family val="1"/>
    </font>
    <font>
      <b/>
      <sz val="9"/>
      <color indexed="10"/>
      <name val="Times New Roman"/>
      <family val="1"/>
    </font>
    <font>
      <b/>
      <sz val="9"/>
      <color indexed="8"/>
      <name val="Times New Roman"/>
      <family val="1"/>
    </font>
    <font>
      <sz val="10"/>
      <color indexed="8"/>
      <name val="Times New Roman"/>
      <family val="1"/>
    </font>
    <font>
      <sz val="9"/>
      <color indexed="8"/>
      <name val="Times New Roman"/>
      <family val="1"/>
    </font>
    <font>
      <b/>
      <vertAlign val="superscript"/>
      <sz val="11"/>
      <name val="Times New Roman"/>
      <family val="1"/>
    </font>
    <font>
      <b/>
      <sz val="12"/>
      <name val="Arial"/>
      <family val="2"/>
    </font>
    <font>
      <vertAlign val="superscript"/>
      <sz val="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b/>
      <sz val="8"/>
      <color indexed="10"/>
      <name val="Times New Roman"/>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b/>
      <sz val="8"/>
      <color rgb="FFFF0000"/>
      <name val="Times New Roman"/>
      <family val="1"/>
    </font>
    <font>
      <b/>
      <sz val="9"/>
      <color rgb="FFFF0000"/>
      <name val="Times New Roman"/>
      <family val="1"/>
    </font>
    <font>
      <b/>
      <sz val="10"/>
      <color rgb="FFFF0000"/>
      <name val="Arial"/>
      <family val="2"/>
    </font>
    <font>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92D05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style="thin"/>
      <right style="thin"/>
      <top>
        <color indexed="63"/>
      </top>
      <bottom style="thin"/>
    </border>
    <border>
      <left style="medium"/>
      <right style="medium"/>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style="thin"/>
    </border>
    <border>
      <left style="medium"/>
      <right style="medium"/>
      <top>
        <color indexed="63"/>
      </top>
      <bottom style="thin"/>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medium"/>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84">
    <xf numFmtId="0" fontId="0" fillId="0" borderId="0" xfId="0" applyAlignment="1">
      <alignment/>
    </xf>
    <xf numFmtId="0" fontId="6" fillId="33" borderId="10" xfId="0" applyFont="1" applyFill="1" applyBorder="1" applyAlignment="1">
      <alignment horizontal="center" vertical="top" wrapText="1"/>
    </xf>
    <xf numFmtId="0" fontId="8" fillId="33" borderId="11" xfId="0" applyFont="1" applyFill="1" applyBorder="1" applyAlignment="1">
      <alignment horizontal="center" vertical="top" wrapText="1"/>
    </xf>
    <xf numFmtId="0" fontId="8" fillId="0" borderId="0" xfId="0" applyFont="1" applyAlignment="1">
      <alignment horizontal="left" indent="8"/>
    </xf>
    <xf numFmtId="0" fontId="8" fillId="33" borderId="12" xfId="0" applyFont="1" applyFill="1" applyBorder="1" applyAlignment="1">
      <alignment horizontal="center"/>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14" fillId="0" borderId="0" xfId="0" applyFont="1" applyAlignment="1">
      <alignment/>
    </xf>
    <xf numFmtId="0" fontId="4" fillId="33" borderId="11" xfId="0" applyFont="1" applyFill="1" applyBorder="1" applyAlignment="1">
      <alignment/>
    </xf>
    <xf numFmtId="0" fontId="2" fillId="33" borderId="10" xfId="0" applyFont="1" applyFill="1" applyBorder="1" applyAlignment="1">
      <alignment vertical="top"/>
    </xf>
    <xf numFmtId="9" fontId="0" fillId="0" borderId="0" xfId="0" applyNumberFormat="1" applyAlignment="1">
      <alignment/>
    </xf>
    <xf numFmtId="0" fontId="0" fillId="0" borderId="13" xfId="0" applyBorder="1" applyAlignment="1">
      <alignment/>
    </xf>
    <xf numFmtId="0" fontId="15" fillId="0" borderId="13" xfId="0" applyFont="1" applyBorder="1" applyAlignment="1">
      <alignment/>
    </xf>
    <xf numFmtId="0" fontId="0" fillId="0" borderId="0" xfId="0" applyBorder="1" applyAlignment="1">
      <alignment/>
    </xf>
    <xf numFmtId="0" fontId="15" fillId="0" borderId="0" xfId="0" applyFont="1" applyBorder="1" applyAlignment="1">
      <alignment/>
    </xf>
    <xf numFmtId="0" fontId="4" fillId="0" borderId="0" xfId="0" applyFont="1" applyAlignment="1">
      <alignment vertical="top" wrapText="1"/>
    </xf>
    <xf numFmtId="0" fontId="4" fillId="33" borderId="13" xfId="0" applyFont="1" applyFill="1" applyBorder="1" applyAlignment="1">
      <alignment horizontal="center" wrapText="1"/>
    </xf>
    <xf numFmtId="0" fontId="2" fillId="33" borderId="13" xfId="0" applyFont="1" applyFill="1" applyBorder="1" applyAlignment="1">
      <alignment horizontal="center" vertical="top" wrapText="1"/>
    </xf>
    <xf numFmtId="0" fontId="2" fillId="33" borderId="13" xfId="0" applyFont="1" applyFill="1" applyBorder="1" applyAlignment="1">
      <alignment horizontal="center" wrapText="1"/>
    </xf>
    <xf numFmtId="0" fontId="4" fillId="33" borderId="13" xfId="0" applyFont="1" applyFill="1" applyBorder="1" applyAlignment="1">
      <alignment vertical="top" wrapText="1"/>
    </xf>
    <xf numFmtId="0" fontId="2" fillId="33" borderId="13" xfId="0" applyFont="1" applyFill="1" applyBorder="1" applyAlignment="1">
      <alignment wrapText="1"/>
    </xf>
    <xf numFmtId="0" fontId="2" fillId="33" borderId="13" xfId="0" applyFont="1" applyFill="1" applyBorder="1" applyAlignment="1">
      <alignment horizontal="right" vertical="top" wrapText="1"/>
    </xf>
    <xf numFmtId="0" fontId="2" fillId="33" borderId="13" xfId="0" applyFont="1" applyFill="1" applyBorder="1" applyAlignment="1">
      <alignment vertical="top" wrapText="1"/>
    </xf>
    <xf numFmtId="2" fontId="2" fillId="33" borderId="13" xfId="0" applyNumberFormat="1" applyFont="1" applyFill="1" applyBorder="1" applyAlignment="1">
      <alignment horizontal="right" wrapText="1"/>
    </xf>
    <xf numFmtId="0" fontId="2" fillId="0" borderId="13" xfId="0" applyFont="1" applyBorder="1" applyAlignment="1">
      <alignment vertical="top" wrapText="1"/>
    </xf>
    <xf numFmtId="0" fontId="7" fillId="0" borderId="13" xfId="0" applyFont="1" applyBorder="1" applyAlignment="1">
      <alignment horizontal="center" vertical="top" wrapText="1"/>
    </xf>
    <xf numFmtId="0" fontId="14" fillId="0" borderId="13" xfId="0" applyFont="1" applyBorder="1" applyAlignment="1">
      <alignment horizontal="center" vertical="top" wrapText="1"/>
    </xf>
    <xf numFmtId="0" fontId="14" fillId="0" borderId="13" xfId="0" applyFont="1" applyBorder="1" applyAlignment="1">
      <alignment horizontal="justify" vertical="top" wrapText="1"/>
    </xf>
    <xf numFmtId="0" fontId="14" fillId="0" borderId="13" xfId="0" applyFont="1" applyBorder="1" applyAlignment="1">
      <alignment horizontal="right" wrapText="1"/>
    </xf>
    <xf numFmtId="0" fontId="16" fillId="0" borderId="0" xfId="0" applyFont="1" applyAlignment="1">
      <alignment/>
    </xf>
    <xf numFmtId="0" fontId="14" fillId="0" borderId="13" xfId="0" applyFont="1" applyBorder="1" applyAlignment="1">
      <alignment horizontal="center" wrapText="1"/>
    </xf>
    <xf numFmtId="0" fontId="7" fillId="33" borderId="12" xfId="0" applyFont="1" applyFill="1" applyBorder="1" applyAlignment="1">
      <alignment horizontal="center" vertical="top" wrapText="1"/>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15"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2" fontId="15" fillId="0" borderId="17" xfId="0" applyNumberFormat="1" applyFont="1" applyBorder="1" applyAlignment="1">
      <alignment/>
    </xf>
    <xf numFmtId="2" fontId="0" fillId="0" borderId="11" xfId="0" applyNumberFormat="1" applyBorder="1" applyAlignment="1">
      <alignment/>
    </xf>
    <xf numFmtId="0" fontId="19" fillId="0" borderId="0" xfId="0" applyFont="1" applyAlignment="1">
      <alignment/>
    </xf>
    <xf numFmtId="0" fontId="11" fillId="0" borderId="12" xfId="0" applyFont="1" applyBorder="1" applyAlignment="1">
      <alignment horizontal="center"/>
    </xf>
    <xf numFmtId="0" fontId="2" fillId="33" borderId="11" xfId="0" applyFont="1" applyFill="1" applyBorder="1" applyAlignment="1">
      <alignment horizontal="center" vertical="top" wrapText="1"/>
    </xf>
    <xf numFmtId="0" fontId="15" fillId="0" borderId="18" xfId="0" applyFont="1" applyBorder="1" applyAlignment="1">
      <alignment/>
    </xf>
    <xf numFmtId="3" fontId="2" fillId="33" borderId="19" xfId="0" applyNumberFormat="1" applyFont="1" applyFill="1" applyBorder="1" applyAlignment="1">
      <alignment horizontal="right" wrapText="1"/>
    </xf>
    <xf numFmtId="0" fontId="4" fillId="33" borderId="20" xfId="0" applyFont="1" applyFill="1" applyBorder="1" applyAlignment="1">
      <alignment vertical="top" wrapText="1"/>
    </xf>
    <xf numFmtId="0" fontId="4" fillId="33" borderId="21" xfId="0" applyFont="1" applyFill="1" applyBorder="1" applyAlignment="1">
      <alignment vertical="top" wrapText="1"/>
    </xf>
    <xf numFmtId="0" fontId="14" fillId="33" borderId="22" xfId="0" applyFont="1" applyFill="1" applyBorder="1" applyAlignment="1">
      <alignment vertical="top" wrapText="1"/>
    </xf>
    <xf numFmtId="0" fontId="15" fillId="0" borderId="23" xfId="0" applyFont="1" applyBorder="1" applyAlignment="1">
      <alignment/>
    </xf>
    <xf numFmtId="0" fontId="4" fillId="33" borderId="16" xfId="0" applyFont="1" applyFill="1" applyBorder="1" applyAlignment="1">
      <alignment horizontal="left" wrapText="1"/>
    </xf>
    <xf numFmtId="0" fontId="4" fillId="33" borderId="11" xfId="0" applyFont="1" applyFill="1" applyBorder="1" applyAlignment="1">
      <alignment horizontal="left" wrapText="1"/>
    </xf>
    <xf numFmtId="0" fontId="4" fillId="33" borderId="24" xfId="0" applyFont="1" applyFill="1" applyBorder="1" applyAlignment="1">
      <alignment/>
    </xf>
    <xf numFmtId="0" fontId="4" fillId="33" borderId="10" xfId="0" applyFont="1" applyFill="1" applyBorder="1" applyAlignment="1">
      <alignment horizontal="justify"/>
    </xf>
    <xf numFmtId="0" fontId="2" fillId="33" borderId="24" xfId="0" applyFont="1" applyFill="1" applyBorder="1" applyAlignment="1">
      <alignment horizontal="center" vertical="top" wrapText="1"/>
    </xf>
    <xf numFmtId="0" fontId="2" fillId="33" borderId="19" xfId="0" applyFont="1" applyFill="1" applyBorder="1" applyAlignment="1">
      <alignment horizontal="right" wrapText="1"/>
    </xf>
    <xf numFmtId="0" fontId="7" fillId="0" borderId="0" xfId="0" applyFont="1" applyAlignment="1">
      <alignment vertical="top" wrapText="1"/>
    </xf>
    <xf numFmtId="2" fontId="2" fillId="0" borderId="11" xfId="0" applyNumberFormat="1" applyFont="1" applyFill="1" applyBorder="1" applyAlignment="1">
      <alignment horizontal="right" wrapText="1"/>
    </xf>
    <xf numFmtId="0" fontId="0" fillId="0" borderId="12" xfId="0" applyBorder="1" applyAlignment="1">
      <alignment horizontal="center"/>
    </xf>
    <xf numFmtId="0" fontId="7" fillId="0" borderId="25" xfId="0" applyFont="1" applyBorder="1" applyAlignment="1">
      <alignment horizontal="center" vertical="top" wrapText="1"/>
    </xf>
    <xf numFmtId="0" fontId="2" fillId="0" borderId="12" xfId="0" applyFont="1" applyBorder="1" applyAlignment="1">
      <alignment horizontal="center" vertical="top" wrapText="1"/>
    </xf>
    <xf numFmtId="0" fontId="2" fillId="33" borderId="0" xfId="0" applyFont="1" applyFill="1" applyBorder="1" applyAlignment="1">
      <alignment horizontal="right"/>
    </xf>
    <xf numFmtId="0" fontId="4" fillId="0" borderId="12" xfId="0" applyFont="1" applyBorder="1" applyAlignment="1">
      <alignment horizontal="center" vertical="top" wrapText="1"/>
    </xf>
    <xf numFmtId="0" fontId="0" fillId="0" borderId="0" xfId="0" applyFont="1" applyAlignment="1">
      <alignment/>
    </xf>
    <xf numFmtId="0" fontId="8" fillId="33" borderId="12" xfId="0" applyFont="1" applyFill="1" applyBorder="1" applyAlignment="1">
      <alignment horizontal="center" vertical="top" wrapText="1"/>
    </xf>
    <xf numFmtId="0" fontId="21" fillId="0" borderId="23" xfId="0" applyFont="1" applyBorder="1" applyAlignment="1">
      <alignment vertical="top" wrapText="1"/>
    </xf>
    <xf numFmtId="0" fontId="17" fillId="0" borderId="12" xfId="0" applyFont="1" applyBorder="1" applyAlignment="1">
      <alignment vertical="top" wrapText="1"/>
    </xf>
    <xf numFmtId="0" fontId="2" fillId="0" borderId="0" xfId="0" applyFont="1" applyAlignment="1">
      <alignment wrapText="1"/>
    </xf>
    <xf numFmtId="0" fontId="8" fillId="33" borderId="17" xfId="0" applyFont="1" applyFill="1" applyBorder="1" applyAlignment="1">
      <alignment horizontal="center" vertical="top" wrapText="1"/>
    </xf>
    <xf numFmtId="0" fontId="21" fillId="33" borderId="26" xfId="0" applyFont="1" applyFill="1" applyBorder="1" applyAlignment="1">
      <alignment horizontal="left" vertical="center" wrapText="1"/>
    </xf>
    <xf numFmtId="2" fontId="17" fillId="0" borderId="13" xfId="0" applyNumberFormat="1" applyFont="1" applyBorder="1" applyAlignment="1">
      <alignment vertical="top" wrapText="1"/>
    </xf>
    <xf numFmtId="2" fontId="21" fillId="0" borderId="12" xfId="0" applyNumberFormat="1" applyFont="1" applyBorder="1" applyAlignment="1">
      <alignment/>
    </xf>
    <xf numFmtId="2" fontId="21" fillId="0" borderId="27" xfId="0" applyNumberFormat="1" applyFont="1" applyBorder="1" applyAlignment="1">
      <alignment/>
    </xf>
    <xf numFmtId="2" fontId="21" fillId="0" borderId="28" xfId="0" applyNumberFormat="1" applyFont="1" applyBorder="1" applyAlignment="1">
      <alignment vertical="top" wrapText="1"/>
    </xf>
    <xf numFmtId="0" fontId="14" fillId="0" borderId="26" xfId="0" applyFont="1" applyBorder="1" applyAlignment="1">
      <alignment vertical="top" wrapText="1"/>
    </xf>
    <xf numFmtId="0" fontId="14" fillId="0" borderId="22" xfId="0" applyFont="1" applyBorder="1" applyAlignment="1">
      <alignment horizontal="center" vertical="top" wrapText="1"/>
    </xf>
    <xf numFmtId="0" fontId="7" fillId="0" borderId="29" xfId="0" applyFont="1" applyBorder="1" applyAlignment="1">
      <alignment horizontal="center" vertical="top" wrapText="1"/>
    </xf>
    <xf numFmtId="0" fontId="14" fillId="0" borderId="22" xfId="0" applyFont="1" applyBorder="1" applyAlignment="1">
      <alignment horizontal="right" wrapText="1"/>
    </xf>
    <xf numFmtId="2" fontId="0" fillId="0" borderId="0" xfId="0" applyNumberFormat="1" applyAlignment="1">
      <alignment/>
    </xf>
    <xf numFmtId="0" fontId="6" fillId="33" borderId="24" xfId="0" applyFont="1" applyFill="1" applyBorder="1" applyAlignment="1">
      <alignment horizontal="center" vertical="top" wrapText="1"/>
    </xf>
    <xf numFmtId="0" fontId="21" fillId="0" borderId="18" xfId="0" applyFont="1" applyBorder="1" applyAlignment="1">
      <alignment horizontal="center" vertical="top" wrapText="1"/>
    </xf>
    <xf numFmtId="0" fontId="0" fillId="0" borderId="0" xfId="0" applyFont="1" applyAlignment="1">
      <alignment vertical="top" wrapText="1"/>
    </xf>
    <xf numFmtId="0" fontId="6" fillId="33" borderId="10" xfId="0" applyFont="1" applyFill="1" applyBorder="1" applyAlignment="1">
      <alignment vertical="top" wrapText="1"/>
    </xf>
    <xf numFmtId="0" fontId="6" fillId="33" borderId="19" xfId="0" applyFont="1" applyFill="1" applyBorder="1" applyAlignment="1">
      <alignment vertical="top" wrapText="1"/>
    </xf>
    <xf numFmtId="0" fontId="11" fillId="0" borderId="12" xfId="0" applyFont="1" applyBorder="1" applyAlignment="1">
      <alignment horizontal="right"/>
    </xf>
    <xf numFmtId="0" fontId="22" fillId="0" borderId="0" xfId="0" applyFont="1" applyAlignment="1">
      <alignment/>
    </xf>
    <xf numFmtId="0" fontId="0" fillId="0" borderId="0" xfId="0" applyFont="1" applyAlignment="1">
      <alignment/>
    </xf>
    <xf numFmtId="0" fontId="15" fillId="0" borderId="12" xfId="0" applyFont="1" applyBorder="1" applyAlignment="1">
      <alignment/>
    </xf>
    <xf numFmtId="0" fontId="8" fillId="0" borderId="12" xfId="0" applyFont="1" applyBorder="1" applyAlignment="1">
      <alignment horizontal="center" vertical="top" wrapText="1"/>
    </xf>
    <xf numFmtId="0" fontId="4" fillId="0" borderId="12" xfId="0" applyFont="1" applyBorder="1" applyAlignment="1">
      <alignment horizontal="right" vertical="top" wrapText="1"/>
    </xf>
    <xf numFmtId="0" fontId="0" fillId="0" borderId="18" xfId="0" applyFont="1" applyBorder="1" applyAlignment="1">
      <alignment/>
    </xf>
    <xf numFmtId="0" fontId="2" fillId="0" borderId="26" xfId="0" applyFont="1" applyBorder="1" applyAlignment="1">
      <alignment horizontal="center" vertical="top" wrapText="1"/>
    </xf>
    <xf numFmtId="0" fontId="2" fillId="0" borderId="22" xfId="0" applyFont="1" applyBorder="1" applyAlignment="1">
      <alignment horizontal="right" wrapText="1"/>
    </xf>
    <xf numFmtId="0" fontId="2" fillId="0" borderId="30" xfId="0" applyFont="1" applyBorder="1" applyAlignment="1">
      <alignment horizontal="center" vertical="top" wrapText="1"/>
    </xf>
    <xf numFmtId="0" fontId="11" fillId="0" borderId="23" xfId="0" applyFont="1" applyBorder="1" applyAlignment="1">
      <alignment horizontal="center"/>
    </xf>
    <xf numFmtId="0" fontId="2" fillId="0" borderId="31" xfId="0" applyFont="1" applyBorder="1" applyAlignment="1">
      <alignment wrapText="1"/>
    </xf>
    <xf numFmtId="0" fontId="23" fillId="33" borderId="13" xfId="0" applyFont="1" applyFill="1" applyBorder="1" applyAlignment="1">
      <alignment vertical="top" wrapText="1"/>
    </xf>
    <xf numFmtId="0" fontId="15" fillId="0" borderId="18" xfId="0" applyFont="1" applyBorder="1" applyAlignment="1">
      <alignment wrapText="1"/>
    </xf>
    <xf numFmtId="0" fontId="6" fillId="33" borderId="24" xfId="0" applyFont="1" applyFill="1" applyBorder="1" applyAlignment="1">
      <alignment vertical="top"/>
    </xf>
    <xf numFmtId="0" fontId="0" fillId="0" borderId="11" xfId="0" applyBorder="1" applyAlignment="1">
      <alignment/>
    </xf>
    <xf numFmtId="0" fontId="0" fillId="0" borderId="0" xfId="0" applyFont="1" applyAlignment="1">
      <alignment/>
    </xf>
    <xf numFmtId="2" fontId="11" fillId="0" borderId="10" xfId="0" applyNumberFormat="1" applyFont="1" applyBorder="1" applyAlignment="1">
      <alignment horizontal="center"/>
    </xf>
    <xf numFmtId="2" fontId="9" fillId="0" borderId="10" xfId="0" applyNumberFormat="1" applyFont="1" applyBorder="1" applyAlignment="1">
      <alignment horizontal="center" vertical="top"/>
    </xf>
    <xf numFmtId="0" fontId="23" fillId="0" borderId="0" xfId="0" applyFont="1" applyAlignment="1">
      <alignment wrapText="1"/>
    </xf>
    <xf numFmtId="0" fontId="2" fillId="33" borderId="0" xfId="0" applyFont="1" applyFill="1" applyBorder="1" applyAlignment="1">
      <alignment vertical="top" wrapText="1"/>
    </xf>
    <xf numFmtId="2" fontId="11" fillId="0" borderId="10" xfId="0" applyNumberFormat="1" applyFont="1" applyBorder="1" applyAlignment="1">
      <alignment horizontal="center" wrapText="1"/>
    </xf>
    <xf numFmtId="0" fontId="14" fillId="0" borderId="13" xfId="0" applyFont="1" applyBorder="1" applyAlignment="1">
      <alignment horizontal="left" vertical="top" wrapText="1"/>
    </xf>
    <xf numFmtId="0" fontId="7" fillId="0" borderId="0" xfId="0" applyFont="1" applyFill="1" applyBorder="1" applyAlignment="1">
      <alignment horizontal="center" vertical="top" wrapText="1"/>
    </xf>
    <xf numFmtId="2" fontId="11" fillId="0" borderId="12" xfId="0" applyNumberFormat="1" applyFont="1" applyBorder="1" applyAlignment="1">
      <alignment horizontal="center"/>
    </xf>
    <xf numFmtId="2" fontId="9" fillId="0" borderId="10" xfId="0" applyNumberFormat="1" applyFont="1" applyBorder="1" applyAlignment="1">
      <alignment horizontal="center" wrapText="1"/>
    </xf>
    <xf numFmtId="0" fontId="7" fillId="33" borderId="15" xfId="0" applyFont="1" applyFill="1" applyBorder="1" applyAlignment="1">
      <alignment horizontal="center" vertical="top" wrapText="1"/>
    </xf>
    <xf numFmtId="2" fontId="7" fillId="33" borderId="32" xfId="0" applyNumberFormat="1" applyFont="1" applyFill="1" applyBorder="1" applyAlignment="1">
      <alignment horizontal="right" vertical="top" wrapText="1"/>
    </xf>
    <xf numFmtId="0" fontId="18" fillId="0" borderId="0" xfId="0" applyFont="1" applyBorder="1" applyAlignment="1">
      <alignment/>
    </xf>
    <xf numFmtId="2" fontId="7" fillId="33" borderId="33" xfId="0" applyNumberFormat="1" applyFont="1" applyFill="1" applyBorder="1" applyAlignment="1">
      <alignment horizontal="right" vertical="top" wrapText="1"/>
    </xf>
    <xf numFmtId="2" fontId="19" fillId="0" borderId="34" xfId="0" applyNumberFormat="1" applyFont="1" applyBorder="1" applyAlignment="1">
      <alignment/>
    </xf>
    <xf numFmtId="0" fontId="4" fillId="34" borderId="31" xfId="0" applyFont="1" applyFill="1" applyBorder="1" applyAlignment="1">
      <alignment vertical="top" wrapText="1"/>
    </xf>
    <xf numFmtId="0" fontId="15" fillId="0" borderId="34" xfId="0" applyFont="1" applyBorder="1" applyAlignment="1">
      <alignment/>
    </xf>
    <xf numFmtId="0" fontId="11" fillId="0" borderId="0" xfId="0" applyFont="1" applyFill="1" applyBorder="1" applyAlignment="1">
      <alignment vertical="top" wrapText="1"/>
    </xf>
    <xf numFmtId="0" fontId="11" fillId="0" borderId="0" xfId="0" applyFont="1" applyFill="1" applyBorder="1" applyAlignment="1">
      <alignment horizontal="justify" vertical="top" wrapText="1"/>
    </xf>
    <xf numFmtId="0" fontId="25" fillId="33" borderId="13" xfId="0" applyFont="1" applyFill="1" applyBorder="1" applyAlignment="1">
      <alignment horizontal="right" vertical="top" wrapText="1"/>
    </xf>
    <xf numFmtId="0" fontId="26" fillId="0" borderId="22" xfId="0" applyFont="1" applyBorder="1" applyAlignment="1">
      <alignment vertical="top" wrapText="1"/>
    </xf>
    <xf numFmtId="0" fontId="27" fillId="0" borderId="22" xfId="0" applyFont="1" applyBorder="1" applyAlignment="1">
      <alignment horizontal="center" vertical="top" wrapText="1"/>
    </xf>
    <xf numFmtId="0" fontId="28" fillId="0" borderId="13" xfId="0" applyFont="1" applyBorder="1" applyAlignment="1">
      <alignment wrapText="1"/>
    </xf>
    <xf numFmtId="0" fontId="27" fillId="0" borderId="13" xfId="0" applyFont="1" applyBorder="1" applyAlignment="1">
      <alignment vertical="top" wrapText="1"/>
    </xf>
    <xf numFmtId="2" fontId="4" fillId="33" borderId="13" xfId="0" applyNumberFormat="1" applyFont="1" applyFill="1" applyBorder="1" applyAlignment="1">
      <alignment horizontal="right" wrapText="1"/>
    </xf>
    <xf numFmtId="0" fontId="7" fillId="0" borderId="11" xfId="0" applyFont="1" applyBorder="1" applyAlignment="1">
      <alignment wrapText="1"/>
    </xf>
    <xf numFmtId="0" fontId="0" fillId="0" borderId="0" xfId="0" applyFont="1" applyBorder="1" applyAlignment="1">
      <alignment/>
    </xf>
    <xf numFmtId="0" fontId="4" fillId="33" borderId="23" xfId="0" applyFont="1" applyFill="1" applyBorder="1" applyAlignment="1">
      <alignment horizontal="center" wrapText="1"/>
    </xf>
    <xf numFmtId="0" fontId="14" fillId="0" borderId="0" xfId="0" applyFont="1" applyBorder="1" applyAlignment="1">
      <alignment horizontal="justify" vertical="top" wrapText="1"/>
    </xf>
    <xf numFmtId="0" fontId="0" fillId="0" borderId="0" xfId="0" applyFont="1" applyBorder="1" applyAlignment="1">
      <alignment/>
    </xf>
    <xf numFmtId="0" fontId="11" fillId="0" borderId="10" xfId="0" applyFont="1" applyBorder="1" applyAlignment="1">
      <alignment horizontal="justify" wrapText="1"/>
    </xf>
    <xf numFmtId="0" fontId="11" fillId="0" borderId="10" xfId="0" applyFont="1" applyBorder="1" applyAlignment="1">
      <alignment wrapText="1"/>
    </xf>
    <xf numFmtId="0" fontId="11" fillId="0" borderId="12" xfId="0" applyFont="1" applyBorder="1" applyAlignment="1">
      <alignment wrapText="1"/>
    </xf>
    <xf numFmtId="0" fontId="11" fillId="0" borderId="10" xfId="0" applyFont="1" applyBorder="1" applyAlignment="1">
      <alignment vertical="top" wrapText="1"/>
    </xf>
    <xf numFmtId="0" fontId="9" fillId="0" borderId="28" xfId="0" applyFont="1" applyBorder="1" applyAlignment="1">
      <alignment horizontal="center" vertical="top" wrapText="1"/>
    </xf>
    <xf numFmtId="0" fontId="11" fillId="33" borderId="10" xfId="0" applyFont="1" applyFill="1" applyBorder="1" applyAlignment="1">
      <alignment wrapText="1"/>
    </xf>
    <xf numFmtId="2" fontId="15" fillId="0" borderId="10" xfId="0" applyNumberFormat="1" applyFont="1" applyBorder="1" applyAlignment="1">
      <alignment horizontal="center"/>
    </xf>
    <xf numFmtId="9" fontId="0" fillId="0" borderId="0" xfId="0" applyNumberFormat="1" applyFont="1" applyAlignment="1">
      <alignment/>
    </xf>
    <xf numFmtId="0" fontId="3" fillId="0" borderId="0" xfId="0" applyFont="1" applyFill="1" applyBorder="1" applyAlignment="1">
      <alignment horizontal="right" wrapText="1"/>
    </xf>
    <xf numFmtId="2" fontId="15" fillId="0" borderId="0" xfId="0" applyNumberFormat="1" applyFont="1" applyAlignment="1">
      <alignment/>
    </xf>
    <xf numFmtId="0" fontId="4" fillId="0" borderId="16" xfId="0" applyFont="1" applyBorder="1" applyAlignment="1">
      <alignment horizontal="center" vertical="top" wrapText="1"/>
    </xf>
    <xf numFmtId="0" fontId="15" fillId="0" borderId="12" xfId="0" applyFont="1" applyBorder="1" applyAlignment="1">
      <alignment/>
    </xf>
    <xf numFmtId="0" fontId="15" fillId="35" borderId="12" xfId="0" applyFont="1" applyFill="1" applyBorder="1" applyAlignment="1">
      <alignment/>
    </xf>
    <xf numFmtId="0" fontId="15" fillId="0" borderId="28" xfId="0" applyFont="1" applyBorder="1" applyAlignment="1">
      <alignment/>
    </xf>
    <xf numFmtId="2" fontId="24" fillId="35" borderId="28" xfId="0" applyNumberFormat="1" applyFont="1" applyFill="1" applyBorder="1" applyAlignment="1">
      <alignment horizontal="right" vertical="top" wrapText="1"/>
    </xf>
    <xf numFmtId="2" fontId="15" fillId="35" borderId="10" xfId="0" applyNumberFormat="1" applyFont="1" applyFill="1" applyBorder="1" applyAlignment="1">
      <alignment/>
    </xf>
    <xf numFmtId="2" fontId="7" fillId="35" borderId="13" xfId="0" applyNumberFormat="1" applyFont="1" applyFill="1" applyBorder="1" applyAlignment="1">
      <alignment horizontal="right" wrapText="1"/>
    </xf>
    <xf numFmtId="2" fontId="15" fillId="35" borderId="11" xfId="0" applyNumberFormat="1" applyFont="1" applyFill="1" applyBorder="1" applyAlignment="1">
      <alignment/>
    </xf>
    <xf numFmtId="0" fontId="0" fillId="0" borderId="0" xfId="0" applyFont="1" applyAlignment="1">
      <alignment vertical="top" wrapText="1"/>
    </xf>
    <xf numFmtId="0" fontId="4" fillId="35" borderId="10" xfId="0" applyFont="1" applyFill="1" applyBorder="1" applyAlignment="1">
      <alignment vertical="top"/>
    </xf>
    <xf numFmtId="0" fontId="4" fillId="35" borderId="10" xfId="0" applyFont="1" applyFill="1" applyBorder="1" applyAlignment="1">
      <alignment horizontal="justify"/>
    </xf>
    <xf numFmtId="0" fontId="8" fillId="33" borderId="11" xfId="0" applyFont="1" applyFill="1" applyBorder="1" applyAlignment="1">
      <alignment vertical="top" wrapText="1"/>
    </xf>
    <xf numFmtId="0" fontId="8" fillId="33" borderId="13" xfId="0" applyFont="1" applyFill="1" applyBorder="1" applyAlignment="1">
      <alignment vertical="top" wrapText="1"/>
    </xf>
    <xf numFmtId="0" fontId="21" fillId="0" borderId="12" xfId="0" applyFont="1" applyBorder="1" applyAlignment="1">
      <alignment vertical="top" wrapText="1"/>
    </xf>
    <xf numFmtId="0" fontId="21" fillId="0" borderId="18" xfId="0" applyFont="1" applyBorder="1" applyAlignment="1">
      <alignment vertical="top" wrapText="1"/>
    </xf>
    <xf numFmtId="0" fontId="21" fillId="0" borderId="28" xfId="0" applyFont="1" applyBorder="1" applyAlignment="1">
      <alignment vertical="top" wrapText="1"/>
    </xf>
    <xf numFmtId="0" fontId="7" fillId="0" borderId="13" xfId="0" applyFont="1" applyBorder="1" applyAlignment="1">
      <alignment/>
    </xf>
    <xf numFmtId="0" fontId="8" fillId="33" borderId="13" xfId="0" applyFont="1" applyFill="1" applyBorder="1" applyAlignment="1">
      <alignment horizontal="center" vertical="top" wrapText="1"/>
    </xf>
    <xf numFmtId="0" fontId="6" fillId="33" borderId="13" xfId="0" applyFont="1" applyFill="1" applyBorder="1" applyAlignment="1">
      <alignment horizontal="center" vertical="top"/>
    </xf>
    <xf numFmtId="0" fontId="28" fillId="0" borderId="0" xfId="0" applyFont="1" applyAlignment="1">
      <alignment/>
    </xf>
    <xf numFmtId="0" fontId="6" fillId="33" borderId="13" xfId="0" applyFont="1" applyFill="1" applyBorder="1" applyAlignment="1">
      <alignment horizontal="center" vertical="top" wrapText="1"/>
    </xf>
    <xf numFmtId="0" fontId="0" fillId="0" borderId="35" xfId="0" applyBorder="1" applyAlignment="1">
      <alignment/>
    </xf>
    <xf numFmtId="0" fontId="4" fillId="0" borderId="36" xfId="0" applyFont="1" applyBorder="1" applyAlignment="1">
      <alignment horizontal="center" vertical="top" wrapText="1"/>
    </xf>
    <xf numFmtId="2" fontId="0" fillId="0" borderId="36" xfId="0" applyNumberFormat="1" applyBorder="1" applyAlignment="1">
      <alignment/>
    </xf>
    <xf numFmtId="0" fontId="0" fillId="0" borderId="36" xfId="0" applyBorder="1" applyAlignment="1">
      <alignment/>
    </xf>
    <xf numFmtId="0" fontId="4" fillId="0" borderId="0" xfId="0" applyFont="1" applyFill="1" applyBorder="1" applyAlignment="1">
      <alignment horizontal="center" vertical="top" wrapText="1"/>
    </xf>
    <xf numFmtId="0" fontId="8" fillId="0" borderId="0" xfId="0" applyFont="1" applyAlignment="1">
      <alignment horizontal="left" indent="15"/>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3" xfId="0" applyFont="1" applyBorder="1" applyAlignment="1">
      <alignment horizontal="right" wrapText="1"/>
    </xf>
    <xf numFmtId="0" fontId="27" fillId="0" borderId="13" xfId="0" applyFont="1" applyBorder="1" applyAlignment="1">
      <alignment horizontal="right" vertical="top" wrapText="1"/>
    </xf>
    <xf numFmtId="0" fontId="2" fillId="0" borderId="37" xfId="0" applyFont="1" applyBorder="1" applyAlignment="1">
      <alignment horizontal="center" vertical="top" wrapText="1"/>
    </xf>
    <xf numFmtId="0" fontId="2" fillId="0" borderId="37" xfId="0" applyFont="1" applyBorder="1" applyAlignment="1">
      <alignment vertical="top" wrapText="1"/>
    </xf>
    <xf numFmtId="0" fontId="27" fillId="0" borderId="37" xfId="0" applyFont="1" applyBorder="1" applyAlignment="1">
      <alignment horizontal="right" vertical="top" wrapText="1"/>
    </xf>
    <xf numFmtId="0" fontId="2" fillId="0" borderId="38" xfId="0" applyFont="1" applyBorder="1" applyAlignment="1">
      <alignment horizontal="center" vertical="top" wrapText="1"/>
    </xf>
    <xf numFmtId="0" fontId="4" fillId="0" borderId="39" xfId="0" applyFont="1" applyBorder="1" applyAlignment="1">
      <alignment vertical="top" wrapText="1"/>
    </xf>
    <xf numFmtId="0" fontId="0" fillId="0" borderId="39" xfId="0" applyBorder="1" applyAlignment="1">
      <alignment/>
    </xf>
    <xf numFmtId="0" fontId="4" fillId="0" borderId="40" xfId="0" applyFont="1" applyFill="1" applyBorder="1" applyAlignment="1">
      <alignment horizontal="right" wrapText="1"/>
    </xf>
    <xf numFmtId="0" fontId="2" fillId="0" borderId="40" xfId="0" applyFont="1" applyFill="1" applyBorder="1" applyAlignment="1">
      <alignment horizontal="right" wrapText="1"/>
    </xf>
    <xf numFmtId="0" fontId="15" fillId="0" borderId="17" xfId="0" applyFont="1" applyBorder="1" applyAlignment="1">
      <alignment/>
    </xf>
    <xf numFmtId="2" fontId="30" fillId="36" borderId="12" xfId="0" applyNumberFormat="1" applyFont="1" applyFill="1" applyBorder="1" applyAlignment="1">
      <alignment/>
    </xf>
    <xf numFmtId="0" fontId="30" fillId="0" borderId="0" xfId="0" applyFont="1" applyFill="1" applyAlignment="1">
      <alignment/>
    </xf>
    <xf numFmtId="0" fontId="30" fillId="36" borderId="15" xfId="0" applyFont="1" applyFill="1" applyBorder="1" applyAlignment="1">
      <alignment/>
    </xf>
    <xf numFmtId="0" fontId="30" fillId="36" borderId="16" xfId="0" applyFont="1" applyFill="1" applyBorder="1" applyAlignment="1">
      <alignment/>
    </xf>
    <xf numFmtId="0" fontId="8" fillId="33" borderId="23" xfId="0" applyFont="1" applyFill="1" applyBorder="1" applyAlignment="1">
      <alignment horizontal="center" vertical="top" wrapText="1"/>
    </xf>
    <xf numFmtId="2" fontId="0" fillId="0" borderId="0" xfId="0" applyNumberFormat="1" applyFont="1" applyAlignment="1">
      <alignment vertical="top" wrapText="1"/>
    </xf>
    <xf numFmtId="0" fontId="8" fillId="33" borderId="10" xfId="0" applyFont="1" applyFill="1" applyBorder="1" applyAlignment="1">
      <alignment horizontal="right" vertical="top" wrapText="1"/>
    </xf>
    <xf numFmtId="2" fontId="8" fillId="33" borderId="10" xfId="0" applyNumberFormat="1" applyFont="1" applyFill="1" applyBorder="1" applyAlignment="1">
      <alignment horizontal="right" vertical="top" wrapText="1"/>
    </xf>
    <xf numFmtId="0" fontId="8" fillId="0" borderId="10" xfId="0" applyFont="1" applyBorder="1" applyAlignment="1">
      <alignment horizontal="right" vertical="top"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35" xfId="0" applyFont="1" applyFill="1" applyBorder="1" applyAlignment="1">
      <alignment horizontal="center" vertical="center" wrapText="1"/>
    </xf>
    <xf numFmtId="2" fontId="2" fillId="0" borderId="13" xfId="0" applyNumberFormat="1" applyFont="1" applyBorder="1" applyAlignment="1">
      <alignment horizontal="right" wrapText="1"/>
    </xf>
    <xf numFmtId="0" fontId="2" fillId="33" borderId="10" xfId="0" applyFont="1" applyFill="1" applyBorder="1" applyAlignment="1">
      <alignment horizontal="center" vertical="top" wrapText="1"/>
    </xf>
    <xf numFmtId="2" fontId="2" fillId="33" borderId="15" xfId="0" applyNumberFormat="1" applyFont="1" applyFill="1" applyBorder="1" applyAlignment="1">
      <alignment horizontal="right" wrapText="1"/>
    </xf>
    <xf numFmtId="2" fontId="4" fillId="33" borderId="12" xfId="0" applyNumberFormat="1" applyFont="1" applyFill="1" applyBorder="1" applyAlignment="1">
      <alignment horizontal="right" wrapText="1"/>
    </xf>
    <xf numFmtId="2" fontId="4" fillId="33" borderId="41" xfId="0" applyNumberFormat="1" applyFont="1" applyFill="1" applyBorder="1" applyAlignment="1">
      <alignment horizontal="right" wrapText="1"/>
    </xf>
    <xf numFmtId="0" fontId="15" fillId="0" borderId="33" xfId="0" applyFont="1" applyBorder="1" applyAlignment="1">
      <alignment/>
    </xf>
    <xf numFmtId="0" fontId="0" fillId="35" borderId="13" xfId="0" applyFill="1" applyBorder="1" applyAlignment="1">
      <alignment/>
    </xf>
    <xf numFmtId="2" fontId="4" fillId="35" borderId="15" xfId="0" applyNumberFormat="1" applyFont="1" applyFill="1" applyBorder="1" applyAlignment="1">
      <alignment horizontal="right" wrapText="1"/>
    </xf>
    <xf numFmtId="0" fontId="6" fillId="35" borderId="15" xfId="0" applyFont="1" applyFill="1" applyBorder="1" applyAlignment="1">
      <alignment wrapText="1"/>
    </xf>
    <xf numFmtId="0" fontId="6" fillId="35" borderId="16" xfId="0" applyFont="1" applyFill="1" applyBorder="1" applyAlignment="1">
      <alignment wrapText="1"/>
    </xf>
    <xf numFmtId="0" fontId="6" fillId="35" borderId="11" xfId="0" applyFont="1" applyFill="1" applyBorder="1" applyAlignment="1">
      <alignment wrapText="1"/>
    </xf>
    <xf numFmtId="0" fontId="4" fillId="35" borderId="12" xfId="0" applyFont="1" applyFill="1" applyBorder="1" applyAlignment="1">
      <alignment vertical="top" wrapText="1"/>
    </xf>
    <xf numFmtId="2" fontId="2" fillId="0" borderId="37" xfId="0" applyNumberFormat="1" applyFont="1" applyBorder="1" applyAlignment="1">
      <alignment horizontal="right" wrapText="1"/>
    </xf>
    <xf numFmtId="2" fontId="6" fillId="33" borderId="13" xfId="0" applyNumberFormat="1" applyFont="1" applyFill="1" applyBorder="1" applyAlignment="1">
      <alignment horizontal="right" vertical="top" wrapText="1"/>
    </xf>
    <xf numFmtId="0" fontId="0" fillId="0" borderId="18" xfId="0" applyFont="1" applyBorder="1" applyAlignment="1">
      <alignment/>
    </xf>
    <xf numFmtId="0" fontId="3" fillId="0" borderId="13" xfId="0" applyFont="1" applyFill="1" applyBorder="1" applyAlignment="1">
      <alignment vertical="top"/>
    </xf>
    <xf numFmtId="0" fontId="3" fillId="0" borderId="42" xfId="0" applyFont="1" applyBorder="1" applyAlignment="1">
      <alignment vertical="top"/>
    </xf>
    <xf numFmtId="0" fontId="4" fillId="37" borderId="13" xfId="0" applyFont="1" applyFill="1" applyBorder="1" applyAlignment="1">
      <alignment horizontal="center" wrapText="1"/>
    </xf>
    <xf numFmtId="0" fontId="4" fillId="37" borderId="13" xfId="0" applyFont="1" applyFill="1" applyBorder="1" applyAlignment="1">
      <alignment vertical="top" wrapText="1"/>
    </xf>
    <xf numFmtId="0" fontId="2" fillId="37" borderId="13" xfId="0" applyFont="1" applyFill="1" applyBorder="1" applyAlignment="1">
      <alignment horizontal="center" vertical="top" wrapText="1"/>
    </xf>
    <xf numFmtId="0" fontId="2" fillId="37" borderId="13" xfId="0" applyFont="1" applyFill="1" applyBorder="1" applyAlignment="1">
      <alignment vertical="top" wrapText="1"/>
    </xf>
    <xf numFmtId="2" fontId="2" fillId="37" borderId="13" xfId="0" applyNumberFormat="1" applyFont="1" applyFill="1" applyBorder="1" applyAlignment="1">
      <alignment horizontal="right" wrapText="1"/>
    </xf>
    <xf numFmtId="0" fontId="4" fillId="37" borderId="13" xfId="0" applyFont="1" applyFill="1" applyBorder="1" applyAlignment="1">
      <alignment horizontal="center" vertical="top" wrapText="1"/>
    </xf>
    <xf numFmtId="0" fontId="0" fillId="0" borderId="0" xfId="0" applyFont="1" applyFill="1" applyAlignment="1">
      <alignment/>
    </xf>
    <xf numFmtId="0" fontId="0" fillId="0" borderId="12" xfId="0" applyFont="1" applyBorder="1" applyAlignment="1">
      <alignment/>
    </xf>
    <xf numFmtId="0" fontId="0" fillId="34" borderId="20" xfId="0" applyFont="1" applyFill="1" applyBorder="1" applyAlignment="1">
      <alignment/>
    </xf>
    <xf numFmtId="0" fontId="0" fillId="0" borderId="0" xfId="0" applyFont="1" applyAlignment="1">
      <alignment horizontal="center"/>
    </xf>
    <xf numFmtId="0" fontId="0" fillId="0" borderId="12" xfId="0" applyFont="1" applyBorder="1" applyAlignment="1">
      <alignment horizontal="center"/>
    </xf>
    <xf numFmtId="0" fontId="0" fillId="0" borderId="18" xfId="0" applyFont="1" applyFill="1" applyBorder="1" applyAlignment="1">
      <alignment horizontal="center"/>
    </xf>
    <xf numFmtId="0" fontId="2" fillId="33" borderId="24" xfId="0" applyFont="1" applyFill="1" applyBorder="1" applyAlignment="1">
      <alignment horizontal="center" wrapText="1"/>
    </xf>
    <xf numFmtId="0" fontId="0" fillId="0" borderId="0" xfId="0" applyFont="1" applyFill="1" applyBorder="1" applyAlignment="1">
      <alignment/>
    </xf>
    <xf numFmtId="0" fontId="0" fillId="36" borderId="13" xfId="0" applyFont="1" applyFill="1" applyBorder="1" applyAlignment="1">
      <alignment/>
    </xf>
    <xf numFmtId="0" fontId="0" fillId="35" borderId="34" xfId="0" applyFont="1" applyFill="1" applyBorder="1" applyAlignment="1">
      <alignment/>
    </xf>
    <xf numFmtId="0" fontId="15" fillId="0" borderId="43" xfId="0" applyFont="1" applyBorder="1" applyAlignment="1">
      <alignment/>
    </xf>
    <xf numFmtId="0" fontId="0" fillId="0" borderId="22" xfId="0" applyFont="1" applyFill="1" applyBorder="1" applyAlignment="1">
      <alignment/>
    </xf>
    <xf numFmtId="2" fontId="2" fillId="0" borderId="22" xfId="0" applyNumberFormat="1" applyFont="1" applyFill="1" applyBorder="1" applyAlignment="1">
      <alignment horizontal="right" wrapText="1"/>
    </xf>
    <xf numFmtId="0" fontId="15" fillId="0" borderId="12" xfId="0" applyFont="1" applyFill="1" applyBorder="1" applyAlignment="1">
      <alignment/>
    </xf>
    <xf numFmtId="2" fontId="2" fillId="0" borderId="15" xfId="0" applyNumberFormat="1" applyFont="1" applyFill="1" applyBorder="1" applyAlignment="1">
      <alignment horizontal="right" wrapText="1"/>
    </xf>
    <xf numFmtId="0" fontId="16" fillId="35" borderId="13" xfId="0" applyFont="1" applyFill="1" applyBorder="1" applyAlignment="1">
      <alignment/>
    </xf>
    <xf numFmtId="0" fontId="7" fillId="35" borderId="13" xfId="0" applyFont="1" applyFill="1" applyBorder="1" applyAlignment="1">
      <alignment horizontal="center" wrapText="1"/>
    </xf>
    <xf numFmtId="0" fontId="19" fillId="35" borderId="34" xfId="0" applyFont="1" applyFill="1" applyBorder="1" applyAlignment="1">
      <alignment/>
    </xf>
    <xf numFmtId="0" fontId="16" fillId="0" borderId="0" xfId="0" applyFont="1" applyAlignment="1">
      <alignment/>
    </xf>
    <xf numFmtId="0" fontId="14" fillId="0" borderId="0" xfId="0" applyFont="1" applyFill="1" applyBorder="1" applyAlignment="1">
      <alignment horizontal="justify" vertical="top" wrapText="1"/>
    </xf>
    <xf numFmtId="0" fontId="16" fillId="35" borderId="12" xfId="0" applyFont="1" applyFill="1" applyBorder="1" applyAlignment="1">
      <alignment/>
    </xf>
    <xf numFmtId="2" fontId="7" fillId="35" borderId="15" xfId="0" applyNumberFormat="1" applyFont="1" applyFill="1" applyBorder="1" applyAlignment="1">
      <alignment horizontal="right" wrapText="1"/>
    </xf>
    <xf numFmtId="0" fontId="4" fillId="33" borderId="10" xfId="0" applyFont="1" applyFill="1" applyBorder="1" applyAlignment="1">
      <alignment wrapText="1"/>
    </xf>
    <xf numFmtId="0" fontId="4" fillId="33" borderId="19" xfId="0" applyFont="1" applyFill="1" applyBorder="1" applyAlignment="1">
      <alignment horizontal="right" wrapText="1"/>
    </xf>
    <xf numFmtId="2" fontId="2" fillId="34" borderId="13" xfId="0" applyNumberFormat="1" applyFont="1" applyFill="1" applyBorder="1" applyAlignment="1">
      <alignment horizontal="right" wrapText="1"/>
    </xf>
    <xf numFmtId="2" fontId="2" fillId="33" borderId="41" xfId="0" applyNumberFormat="1" applyFont="1" applyFill="1" applyBorder="1" applyAlignment="1">
      <alignment horizontal="right" wrapText="1"/>
    </xf>
    <xf numFmtId="2" fontId="2" fillId="33" borderId="44" xfId="0" applyNumberFormat="1" applyFont="1" applyFill="1" applyBorder="1" applyAlignment="1">
      <alignment horizontal="right" wrapText="1"/>
    </xf>
    <xf numFmtId="2" fontId="4" fillId="33" borderId="44" xfId="0" applyNumberFormat="1" applyFont="1" applyFill="1" applyBorder="1" applyAlignment="1">
      <alignment horizontal="right" wrapText="1"/>
    </xf>
    <xf numFmtId="2" fontId="4" fillId="33" borderId="45" xfId="0" applyNumberFormat="1" applyFont="1" applyFill="1" applyBorder="1" applyAlignment="1">
      <alignment horizontal="right" wrapText="1"/>
    </xf>
    <xf numFmtId="0" fontId="4" fillId="33" borderId="23" xfId="0" applyFont="1" applyFill="1" applyBorder="1" applyAlignment="1">
      <alignment wrapText="1"/>
    </xf>
    <xf numFmtId="3" fontId="4" fillId="33" borderId="19" xfId="0" applyNumberFormat="1" applyFont="1" applyFill="1" applyBorder="1" applyAlignment="1">
      <alignment horizontal="right" wrapText="1"/>
    </xf>
    <xf numFmtId="3" fontId="4" fillId="33" borderId="0" xfId="0" applyNumberFormat="1" applyFont="1" applyFill="1" applyBorder="1" applyAlignment="1">
      <alignment horizontal="right" wrapText="1"/>
    </xf>
    <xf numFmtId="2" fontId="4" fillId="33" borderId="15" xfId="0" applyNumberFormat="1" applyFont="1" applyFill="1" applyBorder="1" applyAlignment="1">
      <alignment horizontal="right" wrapText="1"/>
    </xf>
    <xf numFmtId="2" fontId="4" fillId="33" borderId="35" xfId="0" applyNumberFormat="1" applyFont="1" applyFill="1" applyBorder="1" applyAlignment="1">
      <alignment horizontal="right" wrapText="1"/>
    </xf>
    <xf numFmtId="0" fontId="14" fillId="0" borderId="15" xfId="0" applyFont="1" applyBorder="1" applyAlignment="1">
      <alignment horizontal="center" vertical="top" wrapText="1"/>
    </xf>
    <xf numFmtId="0" fontId="4" fillId="0" borderId="10" xfId="0" applyFont="1" applyFill="1" applyBorder="1" applyAlignment="1">
      <alignment horizontal="right" wrapText="1"/>
    </xf>
    <xf numFmtId="0" fontId="15" fillId="35" borderId="13" xfId="0" applyFont="1" applyFill="1" applyBorder="1" applyAlignment="1">
      <alignment/>
    </xf>
    <xf numFmtId="2" fontId="15" fillId="35" borderId="13" xfId="0" applyNumberFormat="1" applyFont="1" applyFill="1" applyBorder="1" applyAlignment="1">
      <alignment/>
    </xf>
    <xf numFmtId="2" fontId="6" fillId="33" borderId="37" xfId="0" applyNumberFormat="1" applyFont="1" applyFill="1" applyBorder="1" applyAlignment="1">
      <alignment horizontal="right" vertical="top" wrapText="1"/>
    </xf>
    <xf numFmtId="0" fontId="28" fillId="0" borderId="0" xfId="0" applyNumberFormat="1" applyFont="1" applyAlignment="1">
      <alignment/>
    </xf>
    <xf numFmtId="2" fontId="4" fillId="0" borderId="40" xfId="0" applyNumberFormat="1" applyFont="1" applyFill="1" applyBorder="1" applyAlignment="1">
      <alignment horizontal="right" wrapText="1"/>
    </xf>
    <xf numFmtId="0" fontId="3" fillId="0" borderId="0" xfId="0" applyFont="1" applyAlignment="1">
      <alignment/>
    </xf>
    <xf numFmtId="1" fontId="2" fillId="0" borderId="13" xfId="0" applyNumberFormat="1" applyFont="1" applyFill="1" applyBorder="1" applyAlignment="1">
      <alignment horizontal="center" vertical="top"/>
    </xf>
    <xf numFmtId="0" fontId="4" fillId="35" borderId="19" xfId="0" applyFont="1" applyFill="1" applyBorder="1" applyAlignment="1">
      <alignment horizontal="center" vertical="top" wrapText="1"/>
    </xf>
    <xf numFmtId="0" fontId="0" fillId="35" borderId="19" xfId="0" applyFill="1" applyBorder="1" applyAlignment="1">
      <alignment/>
    </xf>
    <xf numFmtId="0" fontId="0" fillId="35" borderId="14" xfId="0" applyFill="1" applyBorder="1" applyAlignment="1">
      <alignment/>
    </xf>
    <xf numFmtId="0" fontId="8" fillId="33" borderId="0" xfId="0" applyFont="1" applyFill="1" applyBorder="1" applyAlignment="1">
      <alignment horizontal="center" vertical="center" wrapText="1"/>
    </xf>
    <xf numFmtId="0" fontId="8" fillId="33" borderId="24" xfId="0" applyFont="1" applyFill="1" applyBorder="1" applyAlignment="1">
      <alignment horizontal="center" vertical="center" wrapText="1"/>
    </xf>
    <xf numFmtId="2" fontId="8" fillId="33" borderId="24" xfId="0" applyNumberFormat="1" applyFont="1" applyFill="1" applyBorder="1" applyAlignment="1">
      <alignment horizontal="right" vertical="top" wrapText="1"/>
    </xf>
    <xf numFmtId="0" fontId="21" fillId="35" borderId="38" xfId="0" applyFont="1" applyFill="1" applyBorder="1" applyAlignment="1">
      <alignment vertical="top" wrapText="1"/>
    </xf>
    <xf numFmtId="0" fontId="8" fillId="35" borderId="39" xfId="0" applyFont="1" applyFill="1" applyBorder="1" applyAlignment="1">
      <alignment horizontal="center" vertical="center" wrapText="1"/>
    </xf>
    <xf numFmtId="2" fontId="8" fillId="35" borderId="40" xfId="0" applyNumberFormat="1" applyFont="1" applyFill="1" applyBorder="1" applyAlignment="1">
      <alignment horizontal="right" vertical="top" wrapText="1"/>
    </xf>
    <xf numFmtId="0" fontId="21" fillId="33" borderId="30" xfId="0" applyFont="1" applyFill="1" applyBorder="1" applyAlignment="1">
      <alignment vertical="center" wrapText="1"/>
    </xf>
    <xf numFmtId="0" fontId="0" fillId="0" borderId="37" xfId="0" applyBorder="1" applyAlignment="1">
      <alignment/>
    </xf>
    <xf numFmtId="2" fontId="30" fillId="0" borderId="0" xfId="0" applyNumberFormat="1" applyFont="1" applyBorder="1" applyAlignment="1">
      <alignment vertical="top" wrapText="1"/>
    </xf>
    <xf numFmtId="0" fontId="30" fillId="0" borderId="0" xfId="0" applyFont="1" applyFill="1" applyBorder="1" applyAlignment="1">
      <alignment/>
    </xf>
    <xf numFmtId="2" fontId="30" fillId="0" borderId="0" xfId="0" applyNumberFormat="1" applyFont="1" applyFill="1" applyBorder="1" applyAlignment="1">
      <alignment/>
    </xf>
    <xf numFmtId="0" fontId="32" fillId="0" borderId="0" xfId="0" applyFont="1" applyAlignment="1">
      <alignment/>
    </xf>
    <xf numFmtId="0" fontId="0" fillId="35" borderId="0" xfId="0" applyFill="1" applyAlignment="1">
      <alignment/>
    </xf>
    <xf numFmtId="0" fontId="0" fillId="36" borderId="12" xfId="0" applyFont="1" applyFill="1" applyBorder="1" applyAlignment="1">
      <alignment/>
    </xf>
    <xf numFmtId="0" fontId="2" fillId="10" borderId="10" xfId="0" applyFont="1" applyFill="1" applyBorder="1" applyAlignment="1">
      <alignment vertical="top"/>
    </xf>
    <xf numFmtId="0" fontId="2" fillId="4" borderId="10" xfId="0" applyFont="1" applyFill="1" applyBorder="1" applyAlignment="1">
      <alignment vertical="top"/>
    </xf>
    <xf numFmtId="0" fontId="14" fillId="0" borderId="0" xfId="0" applyFont="1" applyBorder="1" applyAlignment="1">
      <alignment horizontal="center" vertical="top" wrapText="1"/>
    </xf>
    <xf numFmtId="2" fontId="7" fillId="0" borderId="0" xfId="0" applyNumberFormat="1" applyFont="1" applyFill="1" applyBorder="1" applyAlignment="1">
      <alignment horizontal="right" wrapText="1"/>
    </xf>
    <xf numFmtId="0" fontId="2" fillId="4" borderId="10" xfId="0" applyFont="1" applyFill="1" applyBorder="1" applyAlignment="1">
      <alignment vertical="top" wrapText="1"/>
    </xf>
    <xf numFmtId="0" fontId="4" fillId="37" borderId="13" xfId="0" applyFont="1" applyFill="1" applyBorder="1" applyAlignment="1">
      <alignment horizontal="right" vertical="top" wrapText="1"/>
    </xf>
    <xf numFmtId="0" fontId="2" fillId="37" borderId="13" xfId="0" applyFont="1" applyFill="1" applyBorder="1" applyAlignment="1">
      <alignment horizontal="right" wrapText="1"/>
    </xf>
    <xf numFmtId="2" fontId="15" fillId="0" borderId="0" xfId="0" applyNumberFormat="1" applyFont="1" applyFill="1" applyAlignment="1">
      <alignment/>
    </xf>
    <xf numFmtId="0" fontId="9" fillId="38" borderId="13" xfId="0" applyFont="1" applyFill="1" applyBorder="1" applyAlignment="1">
      <alignment horizontal="center" vertical="top" wrapText="1"/>
    </xf>
    <xf numFmtId="0" fontId="9" fillId="0" borderId="13" xfId="0" applyFont="1" applyBorder="1" applyAlignment="1">
      <alignment wrapText="1"/>
    </xf>
    <xf numFmtId="0" fontId="9" fillId="0" borderId="13" xfId="0" applyFont="1" applyBorder="1" applyAlignment="1">
      <alignment/>
    </xf>
    <xf numFmtId="0" fontId="11" fillId="0" borderId="13" xfId="0" applyFont="1" applyBorder="1" applyAlignment="1">
      <alignment/>
    </xf>
    <xf numFmtId="0" fontId="11" fillId="0" borderId="13" xfId="0" applyFont="1" applyBorder="1" applyAlignment="1">
      <alignment horizontal="right"/>
    </xf>
    <xf numFmtId="2" fontId="11" fillId="0" borderId="13" xfId="0" applyNumberFormat="1" applyFont="1" applyBorder="1" applyAlignment="1">
      <alignment horizontal="right"/>
    </xf>
    <xf numFmtId="2" fontId="11" fillId="0" borderId="13" xfId="0" applyNumberFormat="1" applyFont="1" applyBorder="1" applyAlignment="1">
      <alignment/>
    </xf>
    <xf numFmtId="0" fontId="11" fillId="38" borderId="13" xfId="0" applyFont="1" applyFill="1" applyBorder="1" applyAlignment="1">
      <alignment/>
    </xf>
    <xf numFmtId="0" fontId="11" fillId="38" borderId="13" xfId="0" applyFont="1" applyFill="1" applyBorder="1" applyAlignment="1">
      <alignment horizontal="right"/>
    </xf>
    <xf numFmtId="2" fontId="11" fillId="38" borderId="13" xfId="0" applyNumberFormat="1" applyFont="1" applyFill="1" applyBorder="1" applyAlignment="1">
      <alignment horizontal="right"/>
    </xf>
    <xf numFmtId="2" fontId="11" fillId="38" borderId="13" xfId="0" applyNumberFormat="1" applyFont="1" applyFill="1" applyBorder="1" applyAlignment="1">
      <alignment/>
    </xf>
    <xf numFmtId="2" fontId="11" fillId="0" borderId="13" xfId="0" applyNumberFormat="1" applyFont="1" applyFill="1" applyBorder="1" applyAlignment="1">
      <alignment/>
    </xf>
    <xf numFmtId="0" fontId="11" fillId="0" borderId="13" xfId="0" applyFont="1" applyFill="1" applyBorder="1" applyAlignment="1">
      <alignment/>
    </xf>
    <xf numFmtId="0" fontId="11" fillId="0" borderId="13" xfId="0" applyFont="1" applyFill="1" applyBorder="1" applyAlignment="1">
      <alignment vertical="top"/>
    </xf>
    <xf numFmtId="0" fontId="11" fillId="0" borderId="13" xfId="0" applyFont="1" applyFill="1" applyBorder="1" applyAlignment="1">
      <alignment vertical="top" wrapText="1"/>
    </xf>
    <xf numFmtId="0" fontId="11" fillId="38" borderId="13" xfId="0" applyFont="1" applyFill="1" applyBorder="1" applyAlignment="1">
      <alignment vertical="top" wrapText="1"/>
    </xf>
    <xf numFmtId="0" fontId="9" fillId="37" borderId="13" xfId="0" applyFont="1" applyFill="1" applyBorder="1" applyAlignment="1">
      <alignment/>
    </xf>
    <xf numFmtId="2" fontId="9" fillId="37" borderId="13" xfId="0" applyNumberFormat="1" applyFont="1" applyFill="1" applyBorder="1" applyAlignment="1">
      <alignment/>
    </xf>
    <xf numFmtId="0" fontId="9" fillId="0" borderId="13" xfId="0" applyFont="1" applyFill="1" applyBorder="1" applyAlignment="1">
      <alignment/>
    </xf>
    <xf numFmtId="2" fontId="9" fillId="0" borderId="13" xfId="0" applyNumberFormat="1" applyFont="1" applyBorder="1" applyAlignment="1">
      <alignment/>
    </xf>
    <xf numFmtId="0" fontId="9" fillId="0" borderId="13" xfId="0" applyFont="1" applyBorder="1" applyAlignment="1">
      <alignment horizontal="right"/>
    </xf>
    <xf numFmtId="0" fontId="11" fillId="37" borderId="13" xfId="0" applyFont="1" applyFill="1" applyBorder="1" applyAlignment="1">
      <alignment/>
    </xf>
    <xf numFmtId="0" fontId="9" fillId="36" borderId="13" xfId="0" applyFont="1" applyFill="1" applyBorder="1" applyAlignment="1">
      <alignment/>
    </xf>
    <xf numFmtId="0" fontId="11" fillId="36" borderId="13" xfId="0" applyFont="1" applyFill="1" applyBorder="1" applyAlignment="1">
      <alignment/>
    </xf>
    <xf numFmtId="0" fontId="4" fillId="33" borderId="16" xfId="0" applyFont="1" applyFill="1" applyBorder="1" applyAlignment="1">
      <alignment horizontal="right"/>
    </xf>
    <xf numFmtId="2" fontId="2" fillId="4" borderId="15" xfId="0" applyNumberFormat="1" applyFont="1" applyFill="1" applyBorder="1" applyAlignment="1">
      <alignment horizontal="right"/>
    </xf>
    <xf numFmtId="2" fontId="2" fillId="4" borderId="19" xfId="0" applyNumberFormat="1" applyFont="1" applyFill="1" applyBorder="1" applyAlignment="1">
      <alignment horizontal="right" vertical="top"/>
    </xf>
    <xf numFmtId="2" fontId="2" fillId="10" borderId="19" xfId="0" applyNumberFormat="1" applyFont="1" applyFill="1" applyBorder="1" applyAlignment="1">
      <alignment horizontal="right" vertical="top"/>
    </xf>
    <xf numFmtId="2" fontId="4" fillId="35" borderId="19" xfId="0" applyNumberFormat="1" applyFont="1" applyFill="1" applyBorder="1" applyAlignment="1">
      <alignment horizontal="right" vertical="top"/>
    </xf>
    <xf numFmtId="2" fontId="4" fillId="33" borderId="19" xfId="0" applyNumberFormat="1" applyFont="1" applyFill="1" applyBorder="1" applyAlignment="1">
      <alignment horizontal="right" vertical="top"/>
    </xf>
    <xf numFmtId="2" fontId="3" fillId="36" borderId="19" xfId="0" applyNumberFormat="1" applyFont="1" applyFill="1" applyBorder="1" applyAlignment="1">
      <alignment vertical="top" wrapText="1"/>
    </xf>
    <xf numFmtId="0" fontId="2" fillId="0" borderId="13" xfId="0" applyFont="1" applyFill="1" applyBorder="1" applyAlignment="1">
      <alignment/>
    </xf>
    <xf numFmtId="2" fontId="4" fillId="0" borderId="19" xfId="0" applyNumberFormat="1" applyFont="1" applyFill="1" applyBorder="1" applyAlignment="1">
      <alignment horizontal="right" vertical="top"/>
    </xf>
    <xf numFmtId="0" fontId="70" fillId="36" borderId="13" xfId="0" applyFont="1" applyFill="1" applyBorder="1" applyAlignment="1">
      <alignment/>
    </xf>
    <xf numFmtId="0" fontId="71" fillId="36" borderId="13" xfId="0" applyFont="1" applyFill="1" applyBorder="1" applyAlignment="1">
      <alignment/>
    </xf>
    <xf numFmtId="0" fontId="72" fillId="36" borderId="13" xfId="0" applyFont="1" applyFill="1" applyBorder="1" applyAlignment="1">
      <alignment/>
    </xf>
    <xf numFmtId="0" fontId="0" fillId="0" borderId="39" xfId="0" applyBorder="1" applyAlignment="1">
      <alignment horizontal="center"/>
    </xf>
    <xf numFmtId="2" fontId="6" fillId="33" borderId="10" xfId="0" applyNumberFormat="1" applyFont="1" applyFill="1" applyBorder="1" applyAlignment="1">
      <alignment horizontal="center" vertical="top" wrapText="1"/>
    </xf>
    <xf numFmtId="0" fontId="15" fillId="0" borderId="0" xfId="0" applyFont="1" applyFill="1" applyBorder="1" applyAlignment="1">
      <alignment/>
    </xf>
    <xf numFmtId="0" fontId="19" fillId="0" borderId="0" xfId="0" applyFont="1" applyBorder="1" applyAlignment="1">
      <alignment/>
    </xf>
    <xf numFmtId="0" fontId="2" fillId="0" borderId="0" xfId="0" applyFont="1" applyAlignment="1">
      <alignment/>
    </xf>
    <xf numFmtId="0" fontId="4" fillId="0" borderId="13" xfId="0" applyFont="1" applyBorder="1" applyAlignment="1">
      <alignment/>
    </xf>
    <xf numFmtId="0" fontId="4" fillId="0" borderId="0" xfId="0" applyFont="1" applyAlignment="1">
      <alignment/>
    </xf>
    <xf numFmtId="0" fontId="4" fillId="0" borderId="46" xfId="0" applyFont="1" applyFill="1" applyBorder="1" applyAlignment="1">
      <alignment/>
    </xf>
    <xf numFmtId="2" fontId="2" fillId="0" borderId="20" xfId="0" applyNumberFormat="1" applyFont="1" applyBorder="1" applyAlignment="1">
      <alignment/>
    </xf>
    <xf numFmtId="0" fontId="2" fillId="0" borderId="44" xfId="0" applyFont="1" applyBorder="1" applyAlignment="1">
      <alignment/>
    </xf>
    <xf numFmtId="2" fontId="2" fillId="0" borderId="34" xfId="0" applyNumberFormat="1" applyFont="1" applyBorder="1" applyAlignment="1">
      <alignment/>
    </xf>
    <xf numFmtId="0" fontId="4" fillId="36" borderId="46" xfId="0" applyFont="1" applyFill="1" applyBorder="1" applyAlignment="1">
      <alignment/>
    </xf>
    <xf numFmtId="2" fontId="4" fillId="35" borderId="34" xfId="0" applyNumberFormat="1" applyFont="1" applyFill="1" applyBorder="1" applyAlignment="1">
      <alignment/>
    </xf>
    <xf numFmtId="0" fontId="4" fillId="0" borderId="44" xfId="0" applyFont="1" applyBorder="1" applyAlignment="1">
      <alignment/>
    </xf>
    <xf numFmtId="2" fontId="4" fillId="0" borderId="34" xfId="0" applyNumberFormat="1" applyFont="1" applyFill="1" applyBorder="1" applyAlignment="1">
      <alignment/>
    </xf>
    <xf numFmtId="0" fontId="4" fillId="0" borderId="44" xfId="0" applyFont="1" applyFill="1" applyBorder="1" applyAlignment="1">
      <alignment/>
    </xf>
    <xf numFmtId="0" fontId="4" fillId="36" borderId="44" xfId="0" applyFont="1" applyFill="1" applyBorder="1" applyAlignment="1">
      <alignment/>
    </xf>
    <xf numFmtId="2" fontId="4" fillId="35" borderId="21" xfId="0" applyNumberFormat="1" applyFont="1" applyFill="1" applyBorder="1" applyAlignment="1">
      <alignment/>
    </xf>
    <xf numFmtId="0" fontId="4" fillId="0" borderId="15" xfId="0" applyFont="1" applyFill="1" applyBorder="1" applyAlignment="1">
      <alignment/>
    </xf>
    <xf numFmtId="2" fontId="4" fillId="36" borderId="12" xfId="0" applyNumberFormat="1" applyFont="1" applyFill="1" applyBorder="1" applyAlignment="1">
      <alignment/>
    </xf>
    <xf numFmtId="0" fontId="2" fillId="4" borderId="11" xfId="0" applyFont="1" applyFill="1" applyBorder="1" applyAlignment="1">
      <alignment/>
    </xf>
    <xf numFmtId="0" fontId="4" fillId="33" borderId="12" xfId="0" applyFont="1" applyFill="1" applyBorder="1" applyAlignment="1">
      <alignment horizontal="right"/>
    </xf>
    <xf numFmtId="0" fontId="2" fillId="0" borderId="20" xfId="0" applyFont="1" applyBorder="1" applyAlignment="1">
      <alignment/>
    </xf>
    <xf numFmtId="0" fontId="2" fillId="33" borderId="34" xfId="0" applyFont="1" applyFill="1" applyBorder="1" applyAlignment="1">
      <alignment horizontal="left" vertical="top"/>
    </xf>
    <xf numFmtId="2" fontId="4" fillId="33" borderId="34" xfId="0" applyNumberFormat="1" applyFont="1" applyFill="1" applyBorder="1" applyAlignment="1">
      <alignment horizontal="right" vertical="top"/>
    </xf>
    <xf numFmtId="2" fontId="20" fillId="33" borderId="21" xfId="0" applyNumberFormat="1" applyFont="1" applyFill="1" applyBorder="1" applyAlignment="1">
      <alignment vertical="top" wrapText="1"/>
    </xf>
    <xf numFmtId="0" fontId="2" fillId="33" borderId="20" xfId="0" applyFont="1" applyFill="1" applyBorder="1" applyAlignment="1">
      <alignment horizontal="right"/>
    </xf>
    <xf numFmtId="0" fontId="2" fillId="0" borderId="34" xfId="0" applyFont="1" applyBorder="1" applyAlignment="1">
      <alignment/>
    </xf>
    <xf numFmtId="2" fontId="2" fillId="33" borderId="34" xfId="0" applyNumberFormat="1" applyFont="1" applyFill="1" applyBorder="1" applyAlignment="1">
      <alignment horizontal="right" vertical="top"/>
    </xf>
    <xf numFmtId="0" fontId="2" fillId="0" borderId="21" xfId="0" applyFont="1" applyBorder="1" applyAlignment="1">
      <alignment/>
    </xf>
    <xf numFmtId="0" fontId="2" fillId="0" borderId="44" xfId="0" applyFont="1" applyFill="1" applyBorder="1" applyAlignment="1">
      <alignment/>
    </xf>
    <xf numFmtId="0" fontId="9" fillId="37" borderId="13" xfId="0" applyFont="1" applyFill="1" applyBorder="1" applyAlignment="1">
      <alignment horizontal="right"/>
    </xf>
    <xf numFmtId="0" fontId="11" fillId="36" borderId="13" xfId="0" applyFont="1" applyFill="1" applyBorder="1" applyAlignment="1">
      <alignment horizontal="right"/>
    </xf>
    <xf numFmtId="0" fontId="70" fillId="36" borderId="13" xfId="0" applyFont="1" applyFill="1" applyBorder="1" applyAlignment="1">
      <alignment horizontal="right"/>
    </xf>
    <xf numFmtId="0" fontId="9" fillId="39" borderId="13" xfId="0" applyFont="1" applyFill="1" applyBorder="1" applyAlignment="1">
      <alignment horizontal="right" wrapText="1"/>
    </xf>
    <xf numFmtId="0" fontId="11" fillId="39" borderId="13" xfId="0" applyFont="1" applyFill="1" applyBorder="1" applyAlignment="1">
      <alignment horizontal="right"/>
    </xf>
    <xf numFmtId="0" fontId="11" fillId="40" borderId="13" xfId="0" applyFont="1" applyFill="1" applyBorder="1" applyAlignment="1">
      <alignment/>
    </xf>
    <xf numFmtId="0" fontId="11" fillId="40" borderId="13" xfId="0" applyFont="1" applyFill="1" applyBorder="1" applyAlignment="1">
      <alignment vertical="top"/>
    </xf>
    <xf numFmtId="0" fontId="11" fillId="9" borderId="13" xfId="0" applyFont="1" applyFill="1" applyBorder="1" applyAlignment="1">
      <alignment/>
    </xf>
    <xf numFmtId="0" fontId="11" fillId="3" borderId="13" xfId="0" applyFont="1" applyFill="1" applyBorder="1" applyAlignment="1">
      <alignment/>
    </xf>
    <xf numFmtId="0" fontId="9" fillId="3" borderId="13" xfId="0" applyFont="1" applyFill="1" applyBorder="1" applyAlignment="1">
      <alignment horizontal="justify"/>
    </xf>
    <xf numFmtId="0" fontId="11" fillId="3" borderId="13" xfId="0" applyFont="1" applyFill="1" applyBorder="1" applyAlignment="1">
      <alignment vertical="top"/>
    </xf>
    <xf numFmtId="43" fontId="0" fillId="0" borderId="0" xfId="42" applyFont="1" applyAlignment="1">
      <alignment/>
    </xf>
    <xf numFmtId="2" fontId="11" fillId="0" borderId="13" xfId="0" applyNumberFormat="1" applyFont="1" applyFill="1" applyBorder="1" applyAlignment="1">
      <alignment horizontal="right"/>
    </xf>
    <xf numFmtId="0" fontId="15" fillId="0" borderId="13" xfId="0" applyFont="1" applyBorder="1" applyAlignment="1">
      <alignment vertical="top" wrapText="1"/>
    </xf>
    <xf numFmtId="0" fontId="0" fillId="0" borderId="13" xfId="0" applyBorder="1" applyAlignment="1">
      <alignment vertical="top" wrapText="1"/>
    </xf>
    <xf numFmtId="0" fontId="0" fillId="37" borderId="13" xfId="0" applyFill="1" applyBorder="1" applyAlignment="1">
      <alignment vertical="top" wrapText="1"/>
    </xf>
    <xf numFmtId="0" fontId="0" fillId="37" borderId="0" xfId="0" applyFill="1" applyAlignment="1">
      <alignment/>
    </xf>
    <xf numFmtId="0" fontId="0" fillId="37" borderId="13" xfId="0" applyFont="1" applyFill="1" applyBorder="1" applyAlignment="1">
      <alignment vertical="top" wrapText="1"/>
    </xf>
    <xf numFmtId="0" fontId="15" fillId="37" borderId="13" xfId="0" applyFont="1" applyFill="1" applyBorder="1" applyAlignment="1">
      <alignment vertical="top" wrapText="1"/>
    </xf>
    <xf numFmtId="0" fontId="0" fillId="37" borderId="0" xfId="0" applyFill="1" applyAlignment="1">
      <alignment vertical="top" wrapText="1"/>
    </xf>
    <xf numFmtId="0" fontId="15" fillId="3" borderId="13" xfId="0" applyFont="1" applyFill="1" applyBorder="1" applyAlignment="1">
      <alignment vertical="top" wrapText="1"/>
    </xf>
    <xf numFmtId="0" fontId="0" fillId="3" borderId="13" xfId="0" applyFill="1" applyBorder="1" applyAlignment="1">
      <alignment vertical="top" wrapText="1"/>
    </xf>
    <xf numFmtId="0" fontId="0" fillId="3" borderId="13" xfId="0" applyFont="1" applyFill="1" applyBorder="1" applyAlignment="1">
      <alignment vertical="top" wrapText="1"/>
    </xf>
    <xf numFmtId="2" fontId="15" fillId="3" borderId="13" xfId="0" applyNumberFormat="1" applyFont="1" applyFill="1" applyBorder="1" applyAlignment="1">
      <alignment vertical="top" wrapText="1"/>
    </xf>
    <xf numFmtId="0" fontId="30" fillId="0" borderId="0" xfId="0" applyFont="1" applyAlignment="1">
      <alignment/>
    </xf>
    <xf numFmtId="0" fontId="8" fillId="36" borderId="13" xfId="0" applyFont="1" applyFill="1" applyBorder="1" applyAlignment="1">
      <alignment/>
    </xf>
    <xf numFmtId="0" fontId="7" fillId="0" borderId="0" xfId="0" applyFont="1" applyBorder="1" applyAlignment="1">
      <alignment vertical="top" wrapText="1"/>
    </xf>
    <xf numFmtId="0" fontId="2" fillId="0" borderId="0" xfId="0" applyFont="1" applyBorder="1" applyAlignment="1">
      <alignment/>
    </xf>
    <xf numFmtId="0" fontId="4" fillId="0" borderId="0" xfId="0" applyFont="1" applyBorder="1" applyAlignment="1">
      <alignment/>
    </xf>
    <xf numFmtId="2" fontId="9" fillId="38" borderId="13" xfId="0" applyNumberFormat="1" applyFont="1" applyFill="1" applyBorder="1" applyAlignment="1">
      <alignment/>
    </xf>
    <xf numFmtId="0" fontId="9" fillId="39" borderId="13" xfId="0" applyFont="1" applyFill="1" applyBorder="1" applyAlignment="1">
      <alignment horizontal="right"/>
    </xf>
    <xf numFmtId="0" fontId="9" fillId="38" borderId="13" xfId="0" applyFont="1" applyFill="1" applyBorder="1" applyAlignment="1">
      <alignment horizontal="right"/>
    </xf>
    <xf numFmtId="0" fontId="8" fillId="0" borderId="0" xfId="0" applyFont="1" applyAlignment="1">
      <alignment/>
    </xf>
    <xf numFmtId="0" fontId="17" fillId="0" borderId="0" xfId="0" applyFont="1" applyAlignment="1">
      <alignment/>
    </xf>
    <xf numFmtId="0" fontId="21" fillId="0" borderId="0" xfId="0" applyFont="1" applyAlignment="1">
      <alignment/>
    </xf>
    <xf numFmtId="0" fontId="17" fillId="0" borderId="13" xfId="0" applyFont="1" applyBorder="1" applyAlignment="1">
      <alignment/>
    </xf>
    <xf numFmtId="0" fontId="21" fillId="0" borderId="13" xfId="0" applyFont="1" applyBorder="1" applyAlignment="1">
      <alignment/>
    </xf>
    <xf numFmtId="0" fontId="17" fillId="0" borderId="37" xfId="0" applyFont="1" applyBorder="1" applyAlignment="1">
      <alignment/>
    </xf>
    <xf numFmtId="0" fontId="17" fillId="35" borderId="38" xfId="0" applyFont="1" applyFill="1" applyBorder="1" applyAlignment="1">
      <alignment/>
    </xf>
    <xf numFmtId="0" fontId="17" fillId="35" borderId="39" xfId="0" applyFont="1" applyFill="1" applyBorder="1" applyAlignment="1">
      <alignment/>
    </xf>
    <xf numFmtId="0" fontId="21" fillId="35" borderId="39" xfId="0" applyFont="1" applyFill="1" applyBorder="1" applyAlignment="1">
      <alignment/>
    </xf>
    <xf numFmtId="0" fontId="17" fillId="35" borderId="40" xfId="0" applyFont="1" applyFill="1" applyBorder="1" applyAlignment="1">
      <alignment/>
    </xf>
    <xf numFmtId="0" fontId="17" fillId="0" borderId="0" xfId="0" applyFont="1" applyFill="1" applyBorder="1" applyAlignment="1">
      <alignment/>
    </xf>
    <xf numFmtId="0" fontId="21" fillId="0" borderId="0" xfId="0" applyFont="1" applyFill="1" applyBorder="1" applyAlignment="1">
      <alignment/>
    </xf>
    <xf numFmtId="0" fontId="17" fillId="0" borderId="0" xfId="0" applyFont="1" applyFill="1" applyAlignment="1">
      <alignment/>
    </xf>
    <xf numFmtId="0" fontId="17" fillId="35" borderId="47" xfId="0" applyFont="1" applyFill="1" applyBorder="1" applyAlignment="1">
      <alignment/>
    </xf>
    <xf numFmtId="0" fontId="17" fillId="35" borderId="48" xfId="0" applyFont="1" applyFill="1" applyBorder="1" applyAlignment="1">
      <alignment/>
    </xf>
    <xf numFmtId="0" fontId="21" fillId="35" borderId="48" xfId="0" applyFont="1" applyFill="1" applyBorder="1" applyAlignment="1">
      <alignment/>
    </xf>
    <xf numFmtId="0" fontId="17" fillId="35" borderId="49" xfId="0" applyFont="1" applyFill="1" applyBorder="1" applyAlignment="1">
      <alignment/>
    </xf>
    <xf numFmtId="0" fontId="17" fillId="0" borderId="27" xfId="0" applyFont="1" applyFill="1" applyBorder="1" applyAlignment="1">
      <alignment/>
    </xf>
    <xf numFmtId="0" fontId="17" fillId="0" borderId="50" xfId="0" applyFont="1" applyFill="1" applyBorder="1" applyAlignment="1">
      <alignment/>
    </xf>
    <xf numFmtId="0" fontId="21" fillId="0" borderId="50" xfId="0" applyFont="1" applyFill="1" applyBorder="1" applyAlignment="1">
      <alignment/>
    </xf>
    <xf numFmtId="0" fontId="17" fillId="0" borderId="51" xfId="0" applyFont="1" applyFill="1" applyBorder="1" applyAlignment="1">
      <alignment/>
    </xf>
    <xf numFmtId="0" fontId="17" fillId="0" borderId="0" xfId="0" applyFont="1" applyBorder="1" applyAlignment="1">
      <alignment/>
    </xf>
    <xf numFmtId="0" fontId="21" fillId="36" borderId="13" xfId="0" applyFont="1" applyFill="1" applyBorder="1" applyAlignment="1">
      <alignment/>
    </xf>
    <xf numFmtId="0" fontId="17" fillId="36" borderId="13" xfId="0" applyFont="1" applyFill="1" applyBorder="1" applyAlignment="1">
      <alignment/>
    </xf>
    <xf numFmtId="0" fontId="21" fillId="35" borderId="13" xfId="0" applyFont="1" applyFill="1" applyBorder="1" applyAlignment="1">
      <alignment/>
    </xf>
    <xf numFmtId="0" fontId="17" fillId="35" borderId="13" xfId="0" applyFont="1" applyFill="1" applyBorder="1" applyAlignment="1">
      <alignment/>
    </xf>
    <xf numFmtId="0" fontId="21" fillId="0" borderId="51" xfId="0" applyFont="1" applyFill="1" applyBorder="1" applyAlignment="1">
      <alignment/>
    </xf>
    <xf numFmtId="0" fontId="21" fillId="36" borderId="52" xfId="0" applyFont="1" applyFill="1" applyBorder="1" applyAlignment="1">
      <alignment/>
    </xf>
    <xf numFmtId="0" fontId="21" fillId="36" borderId="29" xfId="0" applyFont="1" applyFill="1" applyBorder="1" applyAlignment="1">
      <alignment/>
    </xf>
    <xf numFmtId="0" fontId="21" fillId="36" borderId="30" xfId="0" applyFont="1" applyFill="1" applyBorder="1" applyAlignment="1">
      <alignment/>
    </xf>
    <xf numFmtId="2" fontId="21" fillId="0" borderId="0" xfId="0" applyNumberFormat="1" applyFont="1" applyAlignment="1">
      <alignment/>
    </xf>
    <xf numFmtId="0" fontId="0" fillId="0" borderId="30" xfId="0" applyBorder="1" applyAlignment="1">
      <alignment/>
    </xf>
    <xf numFmtId="0" fontId="0" fillId="0" borderId="22" xfId="0" applyFill="1" applyBorder="1" applyAlignment="1">
      <alignment/>
    </xf>
    <xf numFmtId="0" fontId="0" fillId="0" borderId="53" xfId="0" applyBorder="1" applyAlignment="1">
      <alignment/>
    </xf>
    <xf numFmtId="0" fontId="0" fillId="0" borderId="54" xfId="0" applyBorder="1" applyAlignment="1">
      <alignment/>
    </xf>
    <xf numFmtId="0" fontId="0" fillId="36" borderId="55" xfId="0" applyFill="1" applyBorder="1" applyAlignment="1">
      <alignment/>
    </xf>
    <xf numFmtId="0" fontId="0" fillId="0" borderId="22" xfId="0" applyBorder="1" applyAlignment="1">
      <alignment/>
    </xf>
    <xf numFmtId="2" fontId="0" fillId="35" borderId="40" xfId="0" applyNumberFormat="1" applyFill="1" applyBorder="1" applyAlignment="1">
      <alignment/>
    </xf>
    <xf numFmtId="0" fontId="15" fillId="0" borderId="25" xfId="0" applyFont="1" applyBorder="1" applyAlignment="1">
      <alignment/>
    </xf>
    <xf numFmtId="0" fontId="15" fillId="0" borderId="56" xfId="0" applyFont="1" applyBorder="1" applyAlignment="1">
      <alignment/>
    </xf>
    <xf numFmtId="0" fontId="0" fillId="36" borderId="57" xfId="0" applyFill="1" applyBorder="1" applyAlignment="1">
      <alignment/>
    </xf>
    <xf numFmtId="0" fontId="0" fillId="0" borderId="26" xfId="0" applyFill="1" applyBorder="1" applyAlignment="1">
      <alignment/>
    </xf>
    <xf numFmtId="0" fontId="0" fillId="0" borderId="56" xfId="0" applyBorder="1" applyAlignment="1">
      <alignment/>
    </xf>
    <xf numFmtId="0" fontId="0" fillId="35" borderId="58" xfId="0" applyFill="1" applyBorder="1" applyAlignment="1">
      <alignment/>
    </xf>
    <xf numFmtId="0" fontId="15" fillId="0" borderId="20" xfId="0" applyFont="1" applyBorder="1" applyAlignment="1">
      <alignment/>
    </xf>
    <xf numFmtId="0" fontId="0" fillId="0" borderId="34" xfId="0" applyBorder="1" applyAlignment="1">
      <alignment/>
    </xf>
    <xf numFmtId="0" fontId="0" fillId="0" borderId="21" xfId="0" applyBorder="1" applyAlignment="1">
      <alignment/>
    </xf>
    <xf numFmtId="0" fontId="0" fillId="0" borderId="43" xfId="0" applyBorder="1" applyAlignment="1">
      <alignment/>
    </xf>
    <xf numFmtId="0" fontId="0" fillId="0" borderId="18" xfId="0" applyBorder="1" applyAlignment="1">
      <alignment/>
    </xf>
    <xf numFmtId="0" fontId="0" fillId="0" borderId="12" xfId="0" applyBorder="1" applyAlignment="1">
      <alignment/>
    </xf>
    <xf numFmtId="0" fontId="15" fillId="0" borderId="38" xfId="0" applyFont="1" applyBorder="1" applyAlignment="1">
      <alignment/>
    </xf>
    <xf numFmtId="0" fontId="0" fillId="0" borderId="40" xfId="0" applyBorder="1" applyAlignment="1">
      <alignment/>
    </xf>
    <xf numFmtId="1" fontId="9" fillId="0" borderId="13" xfId="0" applyNumberFormat="1" applyFont="1" applyBorder="1" applyAlignment="1">
      <alignment/>
    </xf>
    <xf numFmtId="2" fontId="71" fillId="37" borderId="13" xfId="0" applyNumberFormat="1" applyFont="1" applyFill="1" applyBorder="1" applyAlignment="1">
      <alignment/>
    </xf>
    <xf numFmtId="2" fontId="71" fillId="0" borderId="13" xfId="0" applyNumberFormat="1" applyFont="1" applyBorder="1" applyAlignment="1">
      <alignment/>
    </xf>
    <xf numFmtId="1" fontId="11" fillId="0" borderId="13" xfId="0" applyNumberFormat="1" applyFont="1" applyBorder="1" applyAlignment="1">
      <alignment/>
    </xf>
    <xf numFmtId="1" fontId="11" fillId="38" borderId="13" xfId="0" applyNumberFormat="1" applyFont="1" applyFill="1" applyBorder="1" applyAlignment="1">
      <alignment/>
    </xf>
    <xf numFmtId="1" fontId="11" fillId="0" borderId="13" xfId="0" applyNumberFormat="1" applyFont="1" applyFill="1" applyBorder="1" applyAlignment="1">
      <alignment/>
    </xf>
    <xf numFmtId="0" fontId="3" fillId="0" borderId="0" xfId="0" applyFont="1" applyAlignment="1">
      <alignment horizontal="left"/>
    </xf>
    <xf numFmtId="174" fontId="11" fillId="0" borderId="13" xfId="0" applyNumberFormat="1" applyFont="1" applyBorder="1" applyAlignment="1">
      <alignment/>
    </xf>
    <xf numFmtId="2" fontId="15" fillId="36" borderId="13" xfId="0" applyNumberFormat="1" applyFont="1" applyFill="1" applyBorder="1" applyAlignment="1">
      <alignment/>
    </xf>
    <xf numFmtId="176" fontId="9" fillId="37" borderId="13" xfId="0" applyNumberFormat="1" applyFont="1" applyFill="1" applyBorder="1" applyAlignment="1">
      <alignment/>
    </xf>
    <xf numFmtId="176" fontId="9" fillId="0" borderId="13" xfId="0" applyNumberFormat="1" applyFont="1" applyBorder="1" applyAlignment="1">
      <alignment/>
    </xf>
    <xf numFmtId="0" fontId="73" fillId="0" borderId="34" xfId="0" applyFont="1" applyBorder="1" applyAlignment="1">
      <alignment/>
    </xf>
    <xf numFmtId="0" fontId="73" fillId="0" borderId="33" xfId="0" applyFont="1" applyBorder="1" applyAlignment="1">
      <alignment/>
    </xf>
    <xf numFmtId="0" fontId="4" fillId="33" borderId="24" xfId="0" applyFont="1" applyFill="1" applyBorder="1" applyAlignment="1">
      <alignment wrapText="1"/>
    </xf>
    <xf numFmtId="0" fontId="73" fillId="0" borderId="18" xfId="0" applyFont="1" applyFill="1" applyBorder="1" applyAlignment="1">
      <alignment/>
    </xf>
    <xf numFmtId="0" fontId="2" fillId="36" borderId="13" xfId="0" applyFont="1" applyFill="1" applyBorder="1" applyAlignment="1">
      <alignment horizontal="center" vertical="top" wrapText="1"/>
    </xf>
    <xf numFmtId="2" fontId="2" fillId="36" borderId="13" xfId="0" applyNumberFormat="1" applyFont="1" applyFill="1" applyBorder="1" applyAlignment="1">
      <alignment horizontal="right" wrapText="1"/>
    </xf>
    <xf numFmtId="0" fontId="74" fillId="0" borderId="13" xfId="0" applyFont="1" applyBorder="1" applyAlignment="1">
      <alignment vertical="top" wrapText="1"/>
    </xf>
    <xf numFmtId="2" fontId="9" fillId="0" borderId="30" xfId="0" applyNumberFormat="1" applyFont="1" applyBorder="1" applyAlignment="1">
      <alignment/>
    </xf>
    <xf numFmtId="0" fontId="9" fillId="38" borderId="37" xfId="0" applyFont="1" applyFill="1" applyBorder="1" applyAlignment="1">
      <alignment horizontal="center" vertical="top" wrapText="1"/>
    </xf>
    <xf numFmtId="1" fontId="9" fillId="38" borderId="37" xfId="0" applyNumberFormat="1" applyFont="1" applyFill="1" applyBorder="1" applyAlignment="1">
      <alignment horizontal="center" vertical="top" wrapText="1"/>
    </xf>
    <xf numFmtId="0" fontId="9" fillId="0" borderId="37" xfId="0" applyFont="1" applyBorder="1" applyAlignment="1">
      <alignment wrapText="1"/>
    </xf>
    <xf numFmtId="0" fontId="11" fillId="38" borderId="22" xfId="0" applyFont="1" applyFill="1" applyBorder="1" applyAlignment="1">
      <alignment/>
    </xf>
    <xf numFmtId="1" fontId="11" fillId="38" borderId="22" xfId="0" applyNumberFormat="1" applyFont="1" applyFill="1" applyBorder="1" applyAlignment="1">
      <alignment horizontal="right"/>
    </xf>
    <xf numFmtId="2" fontId="11" fillId="38" borderId="22" xfId="0" applyNumberFormat="1" applyFont="1" applyFill="1" applyBorder="1" applyAlignment="1">
      <alignment/>
    </xf>
    <xf numFmtId="0" fontId="11" fillId="0" borderId="38" xfId="0" applyFont="1" applyBorder="1" applyAlignment="1">
      <alignment/>
    </xf>
    <xf numFmtId="0" fontId="11" fillId="0" borderId="39" xfId="0" applyFont="1" applyBorder="1" applyAlignment="1">
      <alignment/>
    </xf>
    <xf numFmtId="0" fontId="11" fillId="0" borderId="39" xfId="0" applyFont="1" applyBorder="1" applyAlignment="1">
      <alignment horizontal="right"/>
    </xf>
    <xf numFmtId="1" fontId="11" fillId="0" borderId="39" xfId="0" applyNumberFormat="1" applyFont="1" applyBorder="1" applyAlignment="1">
      <alignment horizontal="right"/>
    </xf>
    <xf numFmtId="2" fontId="11" fillId="0" borderId="39" xfId="0" applyNumberFormat="1" applyFont="1" applyBorder="1" applyAlignment="1">
      <alignment horizontal="right"/>
    </xf>
    <xf numFmtId="2" fontId="11" fillId="38" borderId="30" xfId="0" applyNumberFormat="1" applyFont="1" applyFill="1" applyBorder="1" applyAlignment="1">
      <alignment/>
    </xf>
    <xf numFmtId="0" fontId="11" fillId="0" borderId="22" xfId="0" applyFont="1" applyBorder="1" applyAlignment="1">
      <alignment/>
    </xf>
    <xf numFmtId="0" fontId="11" fillId="38" borderId="59" xfId="0" applyFont="1" applyFill="1" applyBorder="1" applyAlignment="1">
      <alignment/>
    </xf>
    <xf numFmtId="0" fontId="11" fillId="38" borderId="60" xfId="0" applyFont="1" applyFill="1" applyBorder="1" applyAlignment="1">
      <alignment/>
    </xf>
    <xf numFmtId="0" fontId="11" fillId="38" borderId="60" xfId="0" applyFont="1" applyFill="1" applyBorder="1" applyAlignment="1">
      <alignment horizontal="right"/>
    </xf>
    <xf numFmtId="1" fontId="11" fillId="38" borderId="60" xfId="0" applyNumberFormat="1" applyFont="1" applyFill="1" applyBorder="1" applyAlignment="1">
      <alignment horizontal="right"/>
    </xf>
    <xf numFmtId="2" fontId="11" fillId="38" borderId="53" xfId="0" applyNumberFormat="1" applyFont="1" applyFill="1" applyBorder="1" applyAlignment="1">
      <alignment horizontal="right"/>
    </xf>
    <xf numFmtId="0" fontId="11" fillId="38" borderId="61" xfId="0" applyFont="1" applyFill="1" applyBorder="1" applyAlignment="1">
      <alignment/>
    </xf>
    <xf numFmtId="0" fontId="11" fillId="38" borderId="62" xfId="0" applyFont="1" applyFill="1" applyBorder="1" applyAlignment="1">
      <alignment/>
    </xf>
    <xf numFmtId="0" fontId="11" fillId="38" borderId="62" xfId="0" applyFont="1" applyFill="1" applyBorder="1" applyAlignment="1">
      <alignment horizontal="right"/>
    </xf>
    <xf numFmtId="1" fontId="11" fillId="38" borderId="62" xfId="0" applyNumberFormat="1" applyFont="1" applyFill="1" applyBorder="1" applyAlignment="1">
      <alignment horizontal="right"/>
    </xf>
    <xf numFmtId="0" fontId="11" fillId="38" borderId="55" xfId="0" applyFont="1" applyFill="1" applyBorder="1" applyAlignment="1">
      <alignment horizontal="right"/>
    </xf>
    <xf numFmtId="2" fontId="11" fillId="0" borderId="30" xfId="0" applyNumberFormat="1" applyFont="1" applyBorder="1" applyAlignment="1">
      <alignment/>
    </xf>
    <xf numFmtId="1" fontId="11" fillId="38" borderId="22" xfId="0" applyNumberFormat="1" applyFont="1" applyFill="1" applyBorder="1" applyAlignment="1">
      <alignment/>
    </xf>
    <xf numFmtId="0" fontId="11" fillId="0" borderId="59" xfId="0" applyFont="1" applyBorder="1" applyAlignment="1">
      <alignment/>
    </xf>
    <xf numFmtId="0" fontId="11" fillId="0" borderId="60" xfId="0" applyFont="1" applyBorder="1" applyAlignment="1">
      <alignment/>
    </xf>
    <xf numFmtId="0" fontId="11" fillId="0" borderId="60" xfId="0" applyFont="1" applyBorder="1" applyAlignment="1">
      <alignment horizontal="right"/>
    </xf>
    <xf numFmtId="1" fontId="11" fillId="0" borderId="60" xfId="0" applyNumberFormat="1" applyFont="1" applyBorder="1" applyAlignment="1">
      <alignment horizontal="right"/>
    </xf>
    <xf numFmtId="2" fontId="11" fillId="0" borderId="53" xfId="0" applyNumberFormat="1" applyFont="1" applyBorder="1" applyAlignment="1">
      <alignment horizontal="right"/>
    </xf>
    <xf numFmtId="0" fontId="11" fillId="0" borderId="61" xfId="0" applyFont="1" applyBorder="1" applyAlignment="1">
      <alignment/>
    </xf>
    <xf numFmtId="0" fontId="11" fillId="0" borderId="62" xfId="0" applyFont="1" applyBorder="1" applyAlignment="1">
      <alignment/>
    </xf>
    <xf numFmtId="1" fontId="11" fillId="0" borderId="62" xfId="0" applyNumberFormat="1" applyFont="1" applyBorder="1" applyAlignment="1">
      <alignment/>
    </xf>
    <xf numFmtId="0" fontId="11" fillId="0" borderId="55" xfId="0" applyFont="1" applyBorder="1" applyAlignment="1">
      <alignment/>
    </xf>
    <xf numFmtId="1" fontId="11" fillId="0" borderId="22" xfId="0" applyNumberFormat="1" applyFont="1" applyBorder="1" applyAlignment="1">
      <alignment/>
    </xf>
    <xf numFmtId="1" fontId="11" fillId="0" borderId="22" xfId="0" applyNumberFormat="1" applyFont="1" applyFill="1" applyBorder="1" applyAlignment="1">
      <alignment/>
    </xf>
    <xf numFmtId="2" fontId="11" fillId="0" borderId="22" xfId="0" applyNumberFormat="1" applyFont="1" applyBorder="1" applyAlignment="1">
      <alignment/>
    </xf>
    <xf numFmtId="1" fontId="11" fillId="38" borderId="60" xfId="0" applyNumberFormat="1" applyFont="1" applyFill="1" applyBorder="1" applyAlignment="1">
      <alignment/>
    </xf>
    <xf numFmtId="2" fontId="11" fillId="38" borderId="53" xfId="0" applyNumberFormat="1" applyFont="1" applyFill="1" applyBorder="1" applyAlignment="1">
      <alignment/>
    </xf>
    <xf numFmtId="1" fontId="11" fillId="38" borderId="62" xfId="0" applyNumberFormat="1" applyFont="1" applyFill="1" applyBorder="1" applyAlignment="1">
      <alignment/>
    </xf>
    <xf numFmtId="2" fontId="11" fillId="38" borderId="55" xfId="0" applyNumberFormat="1" applyFont="1" applyFill="1" applyBorder="1" applyAlignment="1">
      <alignment/>
    </xf>
    <xf numFmtId="1" fontId="11" fillId="0" borderId="60" xfId="0" applyNumberFormat="1" applyFont="1" applyBorder="1" applyAlignment="1">
      <alignment/>
    </xf>
    <xf numFmtId="1" fontId="11" fillId="0" borderId="60" xfId="0" applyNumberFormat="1" applyFont="1" applyFill="1" applyBorder="1" applyAlignment="1">
      <alignment/>
    </xf>
    <xf numFmtId="2" fontId="11" fillId="0" borderId="53" xfId="0" applyNumberFormat="1" applyFont="1" applyBorder="1" applyAlignment="1">
      <alignment/>
    </xf>
    <xf numFmtId="1" fontId="11" fillId="0" borderId="62" xfId="0" applyNumberFormat="1" applyFont="1" applyFill="1" applyBorder="1" applyAlignment="1">
      <alignment/>
    </xf>
    <xf numFmtId="2" fontId="11" fillId="0" borderId="55" xfId="0" applyNumberFormat="1" applyFont="1" applyBorder="1" applyAlignment="1">
      <alignment/>
    </xf>
    <xf numFmtId="0" fontId="11" fillId="40" borderId="22" xfId="0" applyFont="1" applyFill="1" applyBorder="1" applyAlignment="1">
      <alignment/>
    </xf>
    <xf numFmtId="0" fontId="11" fillId="40" borderId="60" xfId="0" applyFont="1" applyFill="1" applyBorder="1" applyAlignment="1">
      <alignment/>
    </xf>
    <xf numFmtId="0" fontId="11" fillId="0" borderId="63" xfId="0" applyFont="1" applyBorder="1" applyAlignment="1">
      <alignment/>
    </xf>
    <xf numFmtId="2" fontId="11" fillId="0" borderId="54" xfId="0" applyNumberFormat="1" applyFont="1" applyBorder="1" applyAlignment="1">
      <alignment/>
    </xf>
    <xf numFmtId="0" fontId="11" fillId="40" borderId="62" xfId="0" applyFont="1" applyFill="1" applyBorder="1" applyAlignment="1">
      <alignment/>
    </xf>
    <xf numFmtId="0" fontId="11" fillId="0" borderId="37" xfId="0" applyFont="1" applyBorder="1" applyAlignment="1">
      <alignment/>
    </xf>
    <xf numFmtId="1" fontId="11" fillId="0" borderId="37" xfId="0" applyNumberFormat="1" applyFont="1" applyBorder="1" applyAlignment="1">
      <alignment/>
    </xf>
    <xf numFmtId="1" fontId="11" fillId="0" borderId="37" xfId="0" applyNumberFormat="1" applyFont="1" applyFill="1" applyBorder="1" applyAlignment="1">
      <alignment/>
    </xf>
    <xf numFmtId="2" fontId="11" fillId="0" borderId="37" xfId="0" applyNumberFormat="1" applyFont="1" applyBorder="1" applyAlignment="1">
      <alignment/>
    </xf>
    <xf numFmtId="0" fontId="11" fillId="9" borderId="22" xfId="0" applyFont="1" applyFill="1" applyBorder="1" applyAlignment="1">
      <alignment/>
    </xf>
    <xf numFmtId="0" fontId="11" fillId="9" borderId="60" xfId="0" applyFont="1" applyFill="1" applyBorder="1" applyAlignment="1">
      <alignment/>
    </xf>
    <xf numFmtId="0" fontId="11" fillId="38" borderId="63" xfId="0" applyFont="1" applyFill="1" applyBorder="1" applyAlignment="1">
      <alignment/>
    </xf>
    <xf numFmtId="2" fontId="11" fillId="38" borderId="54" xfId="0" applyNumberFormat="1" applyFont="1" applyFill="1" applyBorder="1" applyAlignment="1">
      <alignment/>
    </xf>
    <xf numFmtId="0" fontId="11" fillId="9" borderId="62" xfId="0" applyFont="1" applyFill="1" applyBorder="1" applyAlignment="1">
      <alignment/>
    </xf>
    <xf numFmtId="0" fontId="11" fillId="9" borderId="37" xfId="0" applyFont="1" applyFill="1" applyBorder="1" applyAlignment="1">
      <alignment/>
    </xf>
    <xf numFmtId="0" fontId="11" fillId="38" borderId="37" xfId="0" applyFont="1" applyFill="1" applyBorder="1" applyAlignment="1">
      <alignment/>
    </xf>
    <xf numFmtId="1" fontId="11" fillId="38" borderId="37" xfId="0" applyNumberFormat="1" applyFont="1" applyFill="1" applyBorder="1" applyAlignment="1">
      <alignment/>
    </xf>
    <xf numFmtId="2" fontId="11" fillId="38" borderId="37" xfId="0" applyNumberFormat="1" applyFont="1" applyFill="1" applyBorder="1" applyAlignment="1">
      <alignment/>
    </xf>
    <xf numFmtId="0" fontId="11" fillId="0" borderId="38" xfId="0" applyFont="1" applyFill="1" applyBorder="1" applyAlignment="1">
      <alignment/>
    </xf>
    <xf numFmtId="0" fontId="11" fillId="3" borderId="39" xfId="0" applyFont="1" applyFill="1" applyBorder="1" applyAlignment="1">
      <alignment/>
    </xf>
    <xf numFmtId="0" fontId="11" fillId="0" borderId="39" xfId="0" applyFont="1" applyFill="1" applyBorder="1" applyAlignment="1">
      <alignment/>
    </xf>
    <xf numFmtId="1" fontId="11" fillId="0" borderId="39" xfId="0" applyNumberFormat="1" applyFont="1" applyFill="1" applyBorder="1" applyAlignment="1">
      <alignment/>
    </xf>
    <xf numFmtId="2" fontId="11" fillId="0" borderId="40" xfId="0" applyNumberFormat="1" applyFont="1" applyFill="1" applyBorder="1" applyAlignment="1">
      <alignment/>
    </xf>
    <xf numFmtId="0" fontId="11" fillId="38" borderId="50" xfId="0" applyFont="1" applyFill="1" applyBorder="1" applyAlignment="1">
      <alignment/>
    </xf>
    <xf numFmtId="0" fontId="11" fillId="3" borderId="50" xfId="0" applyFont="1" applyFill="1" applyBorder="1" applyAlignment="1">
      <alignment vertical="top"/>
    </xf>
    <xf numFmtId="1" fontId="11" fillId="38" borderId="50" xfId="0" applyNumberFormat="1" applyFont="1" applyFill="1" applyBorder="1" applyAlignment="1">
      <alignment/>
    </xf>
    <xf numFmtId="2" fontId="11" fillId="38" borderId="50" xfId="0" applyNumberFormat="1" applyFont="1" applyFill="1" applyBorder="1" applyAlignment="1">
      <alignment/>
    </xf>
    <xf numFmtId="0" fontId="11" fillId="3" borderId="39" xfId="0" applyFont="1" applyFill="1" applyBorder="1" applyAlignment="1">
      <alignment vertical="top"/>
    </xf>
    <xf numFmtId="0" fontId="11" fillId="0" borderId="39" xfId="0" applyFont="1" applyFill="1" applyBorder="1" applyAlignment="1">
      <alignment vertical="top" wrapText="1"/>
    </xf>
    <xf numFmtId="0" fontId="11" fillId="38" borderId="50" xfId="0" applyFont="1" applyFill="1" applyBorder="1" applyAlignment="1">
      <alignment vertical="top" wrapText="1"/>
    </xf>
    <xf numFmtId="0" fontId="11" fillId="40" borderId="22" xfId="0" applyFont="1" applyFill="1" applyBorder="1" applyAlignment="1">
      <alignment vertical="top"/>
    </xf>
    <xf numFmtId="0" fontId="11" fillId="0" borderId="39" xfId="0" applyFont="1" applyFill="1" applyBorder="1" applyAlignment="1">
      <alignment vertical="top"/>
    </xf>
    <xf numFmtId="2" fontId="11" fillId="0" borderId="30" xfId="0" applyNumberFormat="1" applyFont="1" applyFill="1" applyBorder="1" applyAlignment="1">
      <alignment/>
    </xf>
    <xf numFmtId="0" fontId="11" fillId="40" borderId="37" xfId="0" applyFont="1" applyFill="1" applyBorder="1" applyAlignment="1">
      <alignment vertical="top"/>
    </xf>
    <xf numFmtId="1" fontId="11" fillId="38" borderId="37" xfId="0" applyNumberFormat="1" applyFont="1" applyFill="1" applyBorder="1" applyAlignment="1">
      <alignment horizontal="right"/>
    </xf>
    <xf numFmtId="1" fontId="11" fillId="0" borderId="39" xfId="0" applyNumberFormat="1" applyFont="1" applyFill="1" applyBorder="1" applyAlignment="1">
      <alignment horizontal="right"/>
    </xf>
    <xf numFmtId="0" fontId="11" fillId="0" borderId="30" xfId="0" applyFont="1" applyFill="1" applyBorder="1" applyAlignment="1">
      <alignment/>
    </xf>
    <xf numFmtId="2" fontId="9" fillId="37" borderId="30" xfId="0" applyNumberFormat="1" applyFont="1" applyFill="1" applyBorder="1" applyAlignment="1">
      <alignment/>
    </xf>
    <xf numFmtId="0" fontId="9" fillId="0" borderId="50" xfId="0" applyFont="1" applyFill="1" applyBorder="1" applyAlignment="1">
      <alignment/>
    </xf>
    <xf numFmtId="0" fontId="9" fillId="3" borderId="50" xfId="0" applyFont="1" applyFill="1" applyBorder="1" applyAlignment="1">
      <alignment horizontal="justify"/>
    </xf>
    <xf numFmtId="0" fontId="11" fillId="0" borderId="50" xfId="0" applyFont="1" applyFill="1" applyBorder="1" applyAlignment="1">
      <alignment/>
    </xf>
    <xf numFmtId="1" fontId="11" fillId="0" borderId="50" xfId="0" applyNumberFormat="1" applyFont="1" applyFill="1" applyBorder="1" applyAlignment="1">
      <alignment/>
    </xf>
    <xf numFmtId="2" fontId="11" fillId="0" borderId="50" xfId="0" applyNumberFormat="1" applyFont="1" applyFill="1" applyBorder="1" applyAlignment="1">
      <alignment/>
    </xf>
    <xf numFmtId="0" fontId="9" fillId="37" borderId="38" xfId="0" applyFont="1" applyFill="1" applyBorder="1" applyAlignment="1">
      <alignment/>
    </xf>
    <xf numFmtId="0" fontId="9" fillId="37" borderId="39" xfId="0" applyFont="1" applyFill="1" applyBorder="1" applyAlignment="1">
      <alignment/>
    </xf>
    <xf numFmtId="1" fontId="9" fillId="37" borderId="39" xfId="0" applyNumberFormat="1" applyFont="1" applyFill="1" applyBorder="1" applyAlignment="1">
      <alignment/>
    </xf>
    <xf numFmtId="2" fontId="9" fillId="37" borderId="39" xfId="0" applyNumberFormat="1" applyFont="1" applyFill="1" applyBorder="1" applyAlignment="1">
      <alignment/>
    </xf>
    <xf numFmtId="2" fontId="11" fillId="0" borderId="12" xfId="0" applyNumberFormat="1" applyFont="1" applyBorder="1" applyAlignment="1">
      <alignment/>
    </xf>
    <xf numFmtId="1" fontId="11" fillId="38" borderId="52" xfId="0" applyNumberFormat="1" applyFont="1" applyFill="1" applyBorder="1" applyAlignment="1">
      <alignment/>
    </xf>
    <xf numFmtId="2" fontId="11" fillId="38" borderId="12" xfId="0" applyNumberFormat="1" applyFont="1" applyFill="1" applyBorder="1" applyAlignment="1">
      <alignment/>
    </xf>
    <xf numFmtId="1" fontId="11" fillId="0" borderId="32" xfId="0" applyNumberFormat="1" applyFont="1" applyFill="1" applyBorder="1" applyAlignment="1">
      <alignment/>
    </xf>
    <xf numFmtId="2" fontId="11" fillId="0" borderId="32" xfId="0" applyNumberFormat="1" applyFont="1" applyBorder="1" applyAlignment="1">
      <alignment/>
    </xf>
    <xf numFmtId="2" fontId="4" fillId="37" borderId="40" xfId="0" applyNumberFormat="1" applyFont="1" applyFill="1" applyBorder="1" applyAlignment="1">
      <alignment/>
    </xf>
    <xf numFmtId="2" fontId="4" fillId="0" borderId="40" xfId="0" applyNumberFormat="1" applyFont="1" applyBorder="1" applyAlignment="1">
      <alignment/>
    </xf>
    <xf numFmtId="2" fontId="4" fillId="38" borderId="26" xfId="0" applyNumberFormat="1" applyFont="1" applyFill="1" applyBorder="1" applyAlignment="1">
      <alignment/>
    </xf>
    <xf numFmtId="2" fontId="4" fillId="38" borderId="30" xfId="0" applyNumberFormat="1" applyFont="1" applyFill="1" applyBorder="1" applyAlignment="1">
      <alignment/>
    </xf>
    <xf numFmtId="2" fontId="4" fillId="0" borderId="30" xfId="0" applyNumberFormat="1" applyFont="1" applyBorder="1" applyAlignment="1">
      <alignment/>
    </xf>
    <xf numFmtId="2" fontId="4" fillId="38" borderId="25" xfId="0" applyNumberFormat="1" applyFont="1" applyFill="1" applyBorder="1" applyAlignment="1">
      <alignment/>
    </xf>
    <xf numFmtId="2" fontId="4" fillId="0" borderId="12" xfId="0" applyNumberFormat="1" applyFont="1" applyBorder="1" applyAlignment="1">
      <alignment/>
    </xf>
    <xf numFmtId="2" fontId="4" fillId="0" borderId="27" xfId="0" applyNumberFormat="1" applyFont="1" applyBorder="1" applyAlignment="1">
      <alignment/>
    </xf>
    <xf numFmtId="2" fontId="4" fillId="38" borderId="12" xfId="0" applyNumberFormat="1" applyFont="1" applyFill="1" applyBorder="1" applyAlignment="1">
      <alignment/>
    </xf>
    <xf numFmtId="2" fontId="4" fillId="38" borderId="27" xfId="0" applyNumberFormat="1" applyFont="1" applyFill="1" applyBorder="1" applyAlignment="1">
      <alignment/>
    </xf>
    <xf numFmtId="2" fontId="4" fillId="0" borderId="26" xfId="0" applyNumberFormat="1" applyFont="1" applyBorder="1" applyAlignment="1">
      <alignment/>
    </xf>
    <xf numFmtId="2" fontId="4" fillId="0" borderId="25" xfId="0" applyNumberFormat="1" applyFont="1" applyBorder="1" applyAlignment="1">
      <alignment/>
    </xf>
    <xf numFmtId="2" fontId="4" fillId="0" borderId="50" xfId="0" applyNumberFormat="1" applyFont="1" applyBorder="1" applyAlignment="1">
      <alignment/>
    </xf>
    <xf numFmtId="2" fontId="4" fillId="0" borderId="22" xfId="0" applyNumberFormat="1" applyFont="1" applyBorder="1" applyAlignment="1">
      <alignment/>
    </xf>
    <xf numFmtId="2" fontId="4" fillId="0" borderId="37" xfId="0" applyNumberFormat="1" applyFont="1" applyBorder="1" applyAlignment="1">
      <alignment/>
    </xf>
    <xf numFmtId="2" fontId="4" fillId="0" borderId="13" xfId="0" applyNumberFormat="1" applyFont="1" applyBorder="1" applyAlignment="1">
      <alignment/>
    </xf>
    <xf numFmtId="2" fontId="4" fillId="38" borderId="13" xfId="0" applyNumberFormat="1" applyFont="1" applyFill="1" applyBorder="1" applyAlignment="1">
      <alignment/>
    </xf>
    <xf numFmtId="2" fontId="4" fillId="38" borderId="37" xfId="0" applyNumberFormat="1" applyFont="1" applyFill="1" applyBorder="1" applyAlignment="1">
      <alignment/>
    </xf>
    <xf numFmtId="2" fontId="4" fillId="38" borderId="50" xfId="0" applyNumberFormat="1" applyFont="1" applyFill="1" applyBorder="1" applyAlignment="1">
      <alignment/>
    </xf>
    <xf numFmtId="2" fontId="4" fillId="38" borderId="22" xfId="0" applyNumberFormat="1" applyFont="1" applyFill="1" applyBorder="1" applyAlignment="1">
      <alignment/>
    </xf>
    <xf numFmtId="2" fontId="4" fillId="0" borderId="12" xfId="0" applyNumberFormat="1" applyFont="1" applyFill="1" applyBorder="1" applyAlignment="1">
      <alignment/>
    </xf>
    <xf numFmtId="0" fontId="4" fillId="38" borderId="50" xfId="0" applyFont="1" applyFill="1" applyBorder="1" applyAlignment="1">
      <alignment/>
    </xf>
    <xf numFmtId="0" fontId="4" fillId="0" borderId="22" xfId="0" applyFont="1" applyBorder="1" applyAlignment="1">
      <alignment/>
    </xf>
    <xf numFmtId="2" fontId="11" fillId="38" borderId="51" xfId="0" applyNumberFormat="1" applyFont="1" applyFill="1" applyBorder="1" applyAlignment="1">
      <alignment/>
    </xf>
    <xf numFmtId="0" fontId="3" fillId="34" borderId="13" xfId="0" applyFont="1" applyFill="1" applyBorder="1" applyAlignment="1">
      <alignment horizontal="center" wrapText="1"/>
    </xf>
    <xf numFmtId="0" fontId="4" fillId="35" borderId="15" xfId="0" applyFont="1" applyFill="1" applyBorder="1" applyAlignment="1">
      <alignment horizontal="center" wrapText="1"/>
    </xf>
    <xf numFmtId="0" fontId="4" fillId="35" borderId="16" xfId="0" applyFont="1" applyFill="1" applyBorder="1" applyAlignment="1">
      <alignment horizontal="center" wrapText="1"/>
    </xf>
    <xf numFmtId="0" fontId="4" fillId="35" borderId="11" xfId="0" applyFont="1" applyFill="1" applyBorder="1" applyAlignment="1">
      <alignment horizontal="center" wrapText="1"/>
    </xf>
    <xf numFmtId="0" fontId="4" fillId="33" borderId="15" xfId="0" applyFont="1" applyFill="1" applyBorder="1" applyAlignment="1">
      <alignment wrapText="1"/>
    </xf>
    <xf numFmtId="0" fontId="4" fillId="33" borderId="16" xfId="0" applyFont="1" applyFill="1" applyBorder="1" applyAlignment="1">
      <alignment wrapText="1"/>
    </xf>
    <xf numFmtId="0" fontId="7" fillId="35" borderId="15" xfId="0" applyFont="1" applyFill="1" applyBorder="1" applyAlignment="1">
      <alignment horizontal="center" wrapText="1"/>
    </xf>
    <xf numFmtId="0" fontId="7" fillId="35" borderId="16" xfId="0" applyFont="1" applyFill="1" applyBorder="1" applyAlignment="1">
      <alignment horizontal="center" wrapText="1"/>
    </xf>
    <xf numFmtId="0" fontId="7" fillId="35" borderId="11" xfId="0" applyFont="1" applyFill="1" applyBorder="1" applyAlignment="1">
      <alignment horizont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1" xfId="0" applyFont="1" applyFill="1" applyBorder="1" applyAlignment="1">
      <alignment horizontal="center" wrapText="1"/>
    </xf>
    <xf numFmtId="0" fontId="4" fillId="0" borderId="14" xfId="0" applyFont="1" applyFill="1" applyBorder="1" applyAlignment="1">
      <alignment wrapText="1"/>
    </xf>
    <xf numFmtId="0" fontId="4" fillId="0" borderId="19" xfId="0" applyFont="1" applyFill="1" applyBorder="1" applyAlignment="1">
      <alignment wrapText="1"/>
    </xf>
    <xf numFmtId="0" fontId="7" fillId="35" borderId="32" xfId="0" applyFont="1" applyFill="1" applyBorder="1" applyAlignment="1">
      <alignment horizontal="center" wrapText="1"/>
    </xf>
    <xf numFmtId="0" fontId="7" fillId="35" borderId="42" xfId="0" applyFont="1" applyFill="1" applyBorder="1" applyAlignment="1">
      <alignment horizontal="center" wrapText="1"/>
    </xf>
    <xf numFmtId="0" fontId="7" fillId="35" borderId="26" xfId="0" applyFont="1" applyFill="1" applyBorder="1" applyAlignment="1">
      <alignment horizontal="center" wrapText="1"/>
    </xf>
    <xf numFmtId="0" fontId="7" fillId="0" borderId="0" xfId="0" applyFont="1" applyAlignment="1">
      <alignment vertical="top" wrapText="1"/>
    </xf>
    <xf numFmtId="0" fontId="4" fillId="33" borderId="20" xfId="0" applyFont="1" applyFill="1" applyBorder="1" applyAlignment="1">
      <alignment vertical="top" wrapText="1"/>
    </xf>
    <xf numFmtId="0" fontId="4" fillId="33" borderId="21" xfId="0" applyFont="1" applyFill="1" applyBorder="1" applyAlignment="1">
      <alignment vertical="top" wrapText="1"/>
    </xf>
    <xf numFmtId="0" fontId="3" fillId="34" borderId="15" xfId="0" applyFont="1" applyFill="1" applyBorder="1" applyAlignment="1">
      <alignment horizontal="center" vertical="top" wrapText="1"/>
    </xf>
    <xf numFmtId="0" fontId="3" fillId="34" borderId="16" xfId="0" applyFont="1" applyFill="1" applyBorder="1" applyAlignment="1">
      <alignment horizontal="center" vertical="top" wrapText="1"/>
    </xf>
    <xf numFmtId="0" fontId="3" fillId="34" borderId="11" xfId="0" applyFont="1" applyFill="1" applyBorder="1" applyAlignment="1">
      <alignment horizontal="center" vertical="top" wrapText="1"/>
    </xf>
    <xf numFmtId="0" fontId="15" fillId="0" borderId="23" xfId="0" applyFont="1" applyBorder="1" applyAlignment="1">
      <alignment horizontal="center"/>
    </xf>
    <xf numFmtId="0" fontId="15" fillId="0" borderId="28" xfId="0" applyFont="1" applyBorder="1" applyAlignment="1">
      <alignment horizontal="center"/>
    </xf>
    <xf numFmtId="0" fontId="7" fillId="0" borderId="0" xfId="0" applyFont="1" applyAlignment="1">
      <alignment/>
    </xf>
    <xf numFmtId="0" fontId="7" fillId="35" borderId="64" xfId="0" applyFont="1" applyFill="1" applyBorder="1" applyAlignment="1">
      <alignment horizontal="center"/>
    </xf>
    <xf numFmtId="0" fontId="7" fillId="35" borderId="65" xfId="0" applyFont="1" applyFill="1" applyBorder="1" applyAlignment="1">
      <alignment horizontal="center"/>
    </xf>
    <xf numFmtId="0" fontId="14" fillId="0" borderId="32" xfId="0" applyFont="1" applyBorder="1" applyAlignment="1">
      <alignment horizontal="center"/>
    </xf>
    <xf numFmtId="0" fontId="14" fillId="0" borderId="42" xfId="0" applyFont="1" applyBorder="1" applyAlignment="1">
      <alignment horizontal="center"/>
    </xf>
    <xf numFmtId="0" fontId="15" fillId="0" borderId="19" xfId="0" applyFont="1" applyBorder="1" applyAlignment="1">
      <alignment/>
    </xf>
    <xf numFmtId="0" fontId="6" fillId="33" borderId="23" xfId="0" applyFont="1" applyFill="1" applyBorder="1" applyAlignment="1">
      <alignment horizontal="center" vertical="top"/>
    </xf>
    <xf numFmtId="0" fontId="6" fillId="33" borderId="18" xfId="0" applyFont="1" applyFill="1" applyBorder="1" applyAlignment="1">
      <alignment horizontal="center" vertical="top"/>
    </xf>
    <xf numFmtId="0" fontId="6" fillId="33" borderId="28" xfId="0" applyFont="1" applyFill="1" applyBorder="1" applyAlignment="1">
      <alignment horizontal="center" vertical="top"/>
    </xf>
    <xf numFmtId="0" fontId="6" fillId="33" borderId="23" xfId="0" applyFont="1" applyFill="1" applyBorder="1" applyAlignment="1">
      <alignment vertical="top"/>
    </xf>
    <xf numFmtId="0" fontId="6" fillId="33" borderId="28" xfId="0" applyFont="1" applyFill="1" applyBorder="1" applyAlignment="1">
      <alignment vertical="top"/>
    </xf>
    <xf numFmtId="0" fontId="4" fillId="0" borderId="14"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1" xfId="0" applyFont="1" applyBorder="1" applyAlignment="1">
      <alignment horizontal="center" vertical="top" wrapText="1"/>
    </xf>
    <xf numFmtId="0" fontId="7" fillId="0" borderId="0" xfId="0" applyFont="1" applyAlignment="1">
      <alignment/>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4" fillId="0" borderId="30" xfId="0" applyFont="1" applyBorder="1" applyAlignment="1">
      <alignment horizontal="justify" vertical="top" wrapText="1"/>
    </xf>
    <xf numFmtId="0" fontId="14" fillId="0" borderId="13" xfId="0" applyFont="1" applyBorder="1" applyAlignment="1">
      <alignment horizontal="center" vertical="top" wrapText="1"/>
    </xf>
    <xf numFmtId="0" fontId="14" fillId="0" borderId="13" xfId="0" applyFont="1" applyBorder="1" applyAlignment="1">
      <alignment horizontal="right" wrapText="1"/>
    </xf>
    <xf numFmtId="0" fontId="14" fillId="0" borderId="23" xfId="0" applyFont="1" applyBorder="1" applyAlignment="1">
      <alignment horizontal="center" vertical="top" wrapText="1"/>
    </xf>
    <xf numFmtId="0" fontId="14" fillId="0" borderId="28" xfId="0" applyFont="1" applyBorder="1" applyAlignment="1">
      <alignment horizontal="center" vertical="top"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xf>
    <xf numFmtId="0" fontId="9" fillId="33" borderId="23" xfId="0" applyFont="1" applyFill="1" applyBorder="1" applyAlignment="1">
      <alignment horizontal="center" vertical="top" wrapText="1"/>
    </xf>
    <xf numFmtId="0" fontId="9" fillId="33" borderId="28" xfId="0" applyFont="1" applyFill="1" applyBorder="1" applyAlignment="1">
      <alignment horizontal="center" vertical="top" wrapText="1"/>
    </xf>
    <xf numFmtId="0" fontId="9" fillId="0" borderId="35" xfId="0" applyFont="1" applyBorder="1" applyAlignment="1">
      <alignment horizontal="center" wrapText="1"/>
    </xf>
    <xf numFmtId="0" fontId="9" fillId="0" borderId="17" xfId="0" applyFont="1" applyBorder="1" applyAlignment="1">
      <alignment horizontal="center" wrapText="1"/>
    </xf>
    <xf numFmtId="0" fontId="9" fillId="0" borderId="31" xfId="0" applyFont="1" applyBorder="1" applyAlignment="1">
      <alignment horizontal="center" wrapText="1"/>
    </xf>
    <xf numFmtId="0" fontId="9" fillId="0" borderId="24" xfId="0" applyFont="1" applyBorder="1" applyAlignment="1">
      <alignment horizontal="center" wrapText="1"/>
    </xf>
    <xf numFmtId="0" fontId="9" fillId="0" borderId="14" xfId="0" applyFont="1" applyBorder="1" applyAlignment="1">
      <alignment horizontal="center" wrapText="1"/>
    </xf>
    <xf numFmtId="0" fontId="9" fillId="0" borderId="10" xfId="0" applyFont="1" applyBorder="1" applyAlignment="1">
      <alignment horizontal="center" wrapText="1"/>
    </xf>
    <xf numFmtId="0" fontId="9" fillId="33" borderId="15" xfId="0" applyFont="1" applyFill="1" applyBorder="1" applyAlignment="1">
      <alignment horizontal="center" vertical="top" wrapText="1"/>
    </xf>
    <xf numFmtId="0" fontId="9" fillId="33" borderId="16" xfId="0" applyFont="1" applyFill="1" applyBorder="1" applyAlignment="1">
      <alignment horizontal="center" vertical="top" wrapText="1"/>
    </xf>
    <xf numFmtId="0" fontId="9" fillId="33" borderId="11" xfId="0" applyFont="1" applyFill="1" applyBorder="1" applyAlignment="1">
      <alignment horizontal="center" vertical="top" wrapText="1"/>
    </xf>
    <xf numFmtId="0" fontId="6" fillId="33" borderId="15" xfId="0" applyFont="1" applyFill="1" applyBorder="1" applyAlignment="1">
      <alignment horizontal="center" vertical="top"/>
    </xf>
    <xf numFmtId="0" fontId="6" fillId="33" borderId="11" xfId="0" applyFont="1" applyFill="1" applyBorder="1" applyAlignment="1">
      <alignment horizontal="center" vertical="top"/>
    </xf>
    <xf numFmtId="0" fontId="9" fillId="33" borderId="15" xfId="0" applyFont="1" applyFill="1" applyBorder="1" applyAlignment="1">
      <alignment vertical="top" wrapText="1"/>
    </xf>
    <xf numFmtId="0" fontId="9" fillId="33" borderId="16" xfId="0" applyFont="1" applyFill="1" applyBorder="1" applyAlignment="1">
      <alignment vertical="top" wrapText="1"/>
    </xf>
    <xf numFmtId="0" fontId="9" fillId="33" borderId="11" xfId="0" applyFont="1" applyFill="1" applyBorder="1" applyAlignment="1">
      <alignment vertical="top" wrapText="1"/>
    </xf>
    <xf numFmtId="0" fontId="9" fillId="0" borderId="15" xfId="0" applyFont="1" applyBorder="1" applyAlignment="1">
      <alignment wrapText="1"/>
    </xf>
    <xf numFmtId="0" fontId="9" fillId="0" borderId="16" xfId="0" applyFont="1" applyBorder="1" applyAlignment="1">
      <alignment wrapText="1"/>
    </xf>
    <xf numFmtId="0" fontId="9" fillId="0" borderId="11" xfId="0" applyFont="1" applyBorder="1" applyAlignment="1">
      <alignment wrapText="1"/>
    </xf>
    <xf numFmtId="0" fontId="9" fillId="33" borderId="35" xfId="0" applyFont="1" applyFill="1" applyBorder="1" applyAlignment="1">
      <alignment vertical="top" wrapText="1"/>
    </xf>
    <xf numFmtId="0" fontId="9" fillId="33" borderId="17" xfId="0" applyFont="1" applyFill="1" applyBorder="1" applyAlignment="1">
      <alignment vertical="top" wrapText="1"/>
    </xf>
    <xf numFmtId="0" fontId="9" fillId="33" borderId="14" xfId="0" applyFont="1" applyFill="1" applyBorder="1" applyAlignment="1">
      <alignment vertical="top" wrapText="1"/>
    </xf>
    <xf numFmtId="0" fontId="9" fillId="33" borderId="10" xfId="0" applyFont="1" applyFill="1" applyBorder="1" applyAlignment="1">
      <alignment vertical="top" wrapText="1"/>
    </xf>
    <xf numFmtId="0" fontId="9" fillId="33" borderId="23" xfId="0" applyFont="1" applyFill="1" applyBorder="1" applyAlignment="1">
      <alignment wrapText="1"/>
    </xf>
    <xf numFmtId="0" fontId="9" fillId="33" borderId="28" xfId="0" applyFont="1" applyFill="1" applyBorder="1" applyAlignment="1">
      <alignment wrapText="1"/>
    </xf>
    <xf numFmtId="0" fontId="9" fillId="33" borderId="23" xfId="0" applyFont="1" applyFill="1" applyBorder="1" applyAlignment="1">
      <alignment horizontal="center"/>
    </xf>
    <xf numFmtId="0" fontId="9" fillId="33" borderId="28" xfId="0" applyFont="1" applyFill="1" applyBorder="1" applyAlignment="1">
      <alignment horizontal="center"/>
    </xf>
    <xf numFmtId="0" fontId="8" fillId="33" borderId="13" xfId="0" applyFont="1" applyFill="1" applyBorder="1" applyAlignment="1">
      <alignment horizontal="center" vertical="top"/>
    </xf>
    <xf numFmtId="2" fontId="8" fillId="33" borderId="52" xfId="0" applyNumberFormat="1" applyFont="1" applyFill="1" applyBorder="1" applyAlignment="1">
      <alignment horizontal="right" vertical="top" wrapText="1"/>
    </xf>
    <xf numFmtId="2" fontId="8" fillId="33" borderId="29" xfId="0" applyNumberFormat="1" applyFont="1" applyFill="1" applyBorder="1" applyAlignment="1">
      <alignment horizontal="right" vertical="top" wrapText="1"/>
    </xf>
    <xf numFmtId="2" fontId="8" fillId="33" borderId="30" xfId="0" applyNumberFormat="1" applyFont="1" applyFill="1" applyBorder="1" applyAlignment="1">
      <alignment horizontal="right" vertical="top" wrapText="1"/>
    </xf>
    <xf numFmtId="2" fontId="0" fillId="0" borderId="37" xfId="0" applyNumberFormat="1" applyBorder="1" applyAlignment="1">
      <alignment horizontal="right"/>
    </xf>
    <xf numFmtId="2" fontId="0" fillId="0" borderId="22" xfId="0" applyNumberFormat="1" applyBorder="1" applyAlignment="1">
      <alignment horizontal="right"/>
    </xf>
    <xf numFmtId="0" fontId="6" fillId="33" borderId="37"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37" xfId="0" applyFont="1" applyFill="1" applyBorder="1" applyAlignment="1">
      <alignment horizontal="justify" vertical="top"/>
    </xf>
    <xf numFmtId="0" fontId="6" fillId="33" borderId="22" xfId="0" applyFont="1" applyFill="1" applyBorder="1" applyAlignment="1">
      <alignment horizontal="justify" vertical="top"/>
    </xf>
    <xf numFmtId="0" fontId="6" fillId="33" borderId="37" xfId="0" applyFont="1" applyFill="1" applyBorder="1" applyAlignment="1">
      <alignment horizontal="center" vertical="top"/>
    </xf>
    <xf numFmtId="0" fontId="6" fillId="33" borderId="22" xfId="0" applyFont="1" applyFill="1" applyBorder="1" applyAlignment="1">
      <alignment horizontal="center" vertical="top"/>
    </xf>
    <xf numFmtId="0" fontId="8" fillId="33" borderId="13" xfId="0" applyFont="1" applyFill="1" applyBorder="1" applyAlignment="1">
      <alignment horizontal="center" vertical="top" wrapText="1"/>
    </xf>
    <xf numFmtId="0" fontId="4" fillId="33" borderId="13" xfId="0" applyFont="1" applyFill="1" applyBorder="1" applyAlignment="1">
      <alignment horizontal="center" vertical="top"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0" fillId="0" borderId="0" xfId="0" applyFont="1" applyAlignment="1">
      <alignment horizontal="center" vertical="top" wrapText="1"/>
    </xf>
    <xf numFmtId="0" fontId="15" fillId="0" borderId="19" xfId="0" applyFont="1" applyBorder="1" applyAlignment="1">
      <alignment horizontal="center" vertical="top" wrapText="1"/>
    </xf>
    <xf numFmtId="0" fontId="8" fillId="0" borderId="0" xfId="0" applyFont="1" applyAlignment="1">
      <alignment/>
    </xf>
    <xf numFmtId="0" fontId="2" fillId="0" borderId="13" xfId="0" applyFont="1" applyBorder="1" applyAlignment="1">
      <alignment horizontal="center" vertical="top" wrapText="1"/>
    </xf>
    <xf numFmtId="0" fontId="2" fillId="0" borderId="37" xfId="0" applyFont="1" applyBorder="1" applyAlignment="1">
      <alignment horizontal="center" vertical="top" wrapText="1"/>
    </xf>
    <xf numFmtId="0" fontId="3" fillId="0" borderId="0" xfId="0" applyFont="1" applyAlignment="1">
      <alignment/>
    </xf>
    <xf numFmtId="0" fontId="4" fillId="0" borderId="13"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23"/>
  <sheetViews>
    <sheetView zoomScalePageLayoutView="0" workbookViewId="0" topLeftCell="A10">
      <selection activeCell="J13" sqref="J13"/>
    </sheetView>
  </sheetViews>
  <sheetFormatPr defaultColWidth="9.140625" defaultRowHeight="12.75"/>
  <cols>
    <col min="1" max="1" width="7.140625" style="0" bestFit="1" customWidth="1"/>
    <col min="2" max="2" width="14.00390625" style="0" customWidth="1"/>
    <col min="3" max="3" width="10.28125" style="0" customWidth="1"/>
    <col min="4" max="4" width="11.28125" style="0" customWidth="1"/>
    <col min="5" max="5" width="13.28125" style="0" customWidth="1"/>
    <col min="6" max="6" width="13.7109375" style="0" customWidth="1"/>
    <col min="7" max="7" width="12.57421875" style="0" bestFit="1" customWidth="1"/>
    <col min="8" max="9" width="8.140625" style="0" customWidth="1"/>
  </cols>
  <sheetData>
    <row r="3" spans="1:9" ht="15.75">
      <c r="A3" s="209" t="s">
        <v>260</v>
      </c>
      <c r="B3" s="209"/>
      <c r="C3" s="209"/>
      <c r="D3" s="209"/>
      <c r="E3" s="209"/>
      <c r="F3" s="209"/>
      <c r="G3" s="209"/>
      <c r="H3" s="15"/>
      <c r="I3" s="15"/>
    </row>
    <row r="4" spans="1:9" ht="15.75">
      <c r="A4" s="209" t="s">
        <v>237</v>
      </c>
      <c r="B4" s="209"/>
      <c r="C4" s="209"/>
      <c r="D4" s="209"/>
      <c r="E4" s="209"/>
      <c r="F4" s="209"/>
      <c r="G4" s="209"/>
      <c r="H4" s="15"/>
      <c r="I4" s="15"/>
    </row>
    <row r="5" spans="1:7" ht="25.5">
      <c r="A5" s="19" t="s">
        <v>1</v>
      </c>
      <c r="B5" s="19" t="s">
        <v>2</v>
      </c>
      <c r="C5" s="19" t="s">
        <v>3</v>
      </c>
      <c r="D5" s="19" t="s">
        <v>4</v>
      </c>
      <c r="E5" s="19" t="s">
        <v>5</v>
      </c>
      <c r="F5" s="19" t="s">
        <v>66</v>
      </c>
      <c r="G5" s="19" t="s">
        <v>6</v>
      </c>
    </row>
    <row r="6" spans="1:7" ht="16.5" customHeight="1">
      <c r="A6" s="215" t="s">
        <v>7</v>
      </c>
      <c r="B6" s="211" t="s">
        <v>8</v>
      </c>
      <c r="C6" s="211"/>
      <c r="D6" s="211"/>
      <c r="E6" s="215"/>
      <c r="F6" s="215"/>
      <c r="G6" s="215"/>
    </row>
    <row r="7" spans="1:7" ht="25.5">
      <c r="A7" s="18">
        <v>1</v>
      </c>
      <c r="B7" s="22" t="s">
        <v>64</v>
      </c>
      <c r="C7" s="17" t="s">
        <v>9</v>
      </c>
      <c r="D7" s="18">
        <v>1</v>
      </c>
      <c r="E7" s="17">
        <v>24</v>
      </c>
      <c r="F7" s="21">
        <v>39125</v>
      </c>
      <c r="G7" s="23">
        <f>(D7*E7*F7)/100000</f>
        <v>9.39</v>
      </c>
    </row>
    <row r="8" spans="1:7" ht="25.5">
      <c r="A8" s="18">
        <v>2</v>
      </c>
      <c r="B8" s="22" t="s">
        <v>65</v>
      </c>
      <c r="C8" s="17" t="s">
        <v>9</v>
      </c>
      <c r="D8" s="18">
        <v>1</v>
      </c>
      <c r="E8" s="17">
        <v>24</v>
      </c>
      <c r="F8" s="21">
        <v>29175</v>
      </c>
      <c r="G8" s="23">
        <f aca="true" t="shared" si="0" ref="G8:G20">(D8*E8*F8)/100000</f>
        <v>7.002</v>
      </c>
    </row>
    <row r="9" spans="1:7" ht="12.75">
      <c r="A9" s="18">
        <v>3</v>
      </c>
      <c r="B9" s="22" t="s">
        <v>10</v>
      </c>
      <c r="C9" s="17" t="s">
        <v>9</v>
      </c>
      <c r="D9" s="18">
        <v>1</v>
      </c>
      <c r="E9" s="17">
        <v>24</v>
      </c>
      <c r="F9" s="21">
        <v>18000</v>
      </c>
      <c r="G9" s="23">
        <f t="shared" si="0"/>
        <v>4.32</v>
      </c>
    </row>
    <row r="10" spans="1:7" ht="25.5">
      <c r="A10" s="18">
        <v>4</v>
      </c>
      <c r="B10" s="22" t="s">
        <v>11</v>
      </c>
      <c r="C10" s="17" t="s">
        <v>9</v>
      </c>
      <c r="D10" s="18">
        <v>1</v>
      </c>
      <c r="E10" s="17">
        <v>24</v>
      </c>
      <c r="F10" s="21">
        <v>29175</v>
      </c>
      <c r="G10" s="23">
        <f t="shared" si="0"/>
        <v>7.002</v>
      </c>
    </row>
    <row r="11" spans="1:7" ht="25.5">
      <c r="A11" s="18">
        <v>5</v>
      </c>
      <c r="B11" s="22" t="s">
        <v>12</v>
      </c>
      <c r="C11" s="17" t="s">
        <v>9</v>
      </c>
      <c r="D11" s="18">
        <v>1</v>
      </c>
      <c r="E11" s="17">
        <v>24</v>
      </c>
      <c r="F11" s="21">
        <v>18000</v>
      </c>
      <c r="G11" s="23">
        <f t="shared" si="0"/>
        <v>4.32</v>
      </c>
    </row>
    <row r="12" spans="1:7" ht="25.5">
      <c r="A12" s="18">
        <v>6</v>
      </c>
      <c r="B12" s="22" t="s">
        <v>13</v>
      </c>
      <c r="C12" s="17" t="s">
        <v>9</v>
      </c>
      <c r="D12" s="18">
        <v>1</v>
      </c>
      <c r="E12" s="17">
        <v>24</v>
      </c>
      <c r="F12" s="21">
        <v>18000</v>
      </c>
      <c r="G12" s="23">
        <f t="shared" si="0"/>
        <v>4.32</v>
      </c>
    </row>
    <row r="13" spans="1:7" ht="12.75">
      <c r="A13" s="18">
        <v>7</v>
      </c>
      <c r="B13" s="22" t="s">
        <v>14</v>
      </c>
      <c r="C13" s="17" t="s">
        <v>9</v>
      </c>
      <c r="D13" s="18">
        <v>1</v>
      </c>
      <c r="E13" s="17">
        <v>24</v>
      </c>
      <c r="F13" s="21">
        <v>18000</v>
      </c>
      <c r="G13" s="23">
        <f t="shared" si="0"/>
        <v>4.32</v>
      </c>
    </row>
    <row r="14" spans="1:7" ht="25.5">
      <c r="A14" s="18">
        <v>8</v>
      </c>
      <c r="B14" s="22" t="s">
        <v>15</v>
      </c>
      <c r="C14" s="17" t="s">
        <v>16</v>
      </c>
      <c r="D14" s="18">
        <v>1</v>
      </c>
      <c r="E14" s="17">
        <v>24</v>
      </c>
      <c r="F14" s="21">
        <v>13300</v>
      </c>
      <c r="G14" s="23">
        <f t="shared" si="0"/>
        <v>3.192</v>
      </c>
    </row>
    <row r="15" spans="1:7" ht="25.5">
      <c r="A15" s="18">
        <v>9</v>
      </c>
      <c r="B15" s="22" t="s">
        <v>17</v>
      </c>
      <c r="C15" s="17" t="s">
        <v>18</v>
      </c>
      <c r="D15" s="18">
        <v>1</v>
      </c>
      <c r="E15" s="17">
        <v>24</v>
      </c>
      <c r="F15" s="21">
        <v>9000</v>
      </c>
      <c r="G15" s="23">
        <f t="shared" si="0"/>
        <v>2.16</v>
      </c>
    </row>
    <row r="16" spans="1:7" ht="12.75">
      <c r="A16" s="210" t="s">
        <v>19</v>
      </c>
      <c r="B16" s="211" t="s">
        <v>20</v>
      </c>
      <c r="C16" s="212"/>
      <c r="D16" s="213"/>
      <c r="E16" s="212"/>
      <c r="F16" s="213"/>
      <c r="G16" s="214"/>
    </row>
    <row r="17" spans="1:7" s="99" customFormat="1" ht="38.25">
      <c r="A17" s="18">
        <v>1</v>
      </c>
      <c r="B17" s="22" t="s">
        <v>21</v>
      </c>
      <c r="C17" s="17" t="s">
        <v>115</v>
      </c>
      <c r="D17" s="22">
        <v>8</v>
      </c>
      <c r="E17" s="17">
        <v>24</v>
      </c>
      <c r="F17" s="21">
        <v>9000</v>
      </c>
      <c r="G17" s="23">
        <f t="shared" si="0"/>
        <v>17.28</v>
      </c>
    </row>
    <row r="18" spans="1:7" s="99" customFormat="1" ht="25.5">
      <c r="A18" s="18">
        <v>2</v>
      </c>
      <c r="B18" s="22" t="s">
        <v>22</v>
      </c>
      <c r="C18" s="17" t="s">
        <v>116</v>
      </c>
      <c r="D18" s="22">
        <v>14</v>
      </c>
      <c r="E18" s="17">
        <v>24</v>
      </c>
      <c r="F18" s="21">
        <v>10740</v>
      </c>
      <c r="G18" s="23">
        <f t="shared" si="0"/>
        <v>36.0864</v>
      </c>
    </row>
    <row r="19" spans="1:7" s="99" customFormat="1" ht="38.25">
      <c r="A19" s="18">
        <v>3</v>
      </c>
      <c r="B19" s="22" t="s">
        <v>23</v>
      </c>
      <c r="C19" s="17" t="s">
        <v>117</v>
      </c>
      <c r="D19" s="22">
        <v>7</v>
      </c>
      <c r="E19" s="17">
        <v>24</v>
      </c>
      <c r="F19" s="21">
        <v>9000</v>
      </c>
      <c r="G19" s="23">
        <f t="shared" si="0"/>
        <v>15.12</v>
      </c>
    </row>
    <row r="20" spans="1:7" s="99" customFormat="1" ht="38.25">
      <c r="A20" s="18">
        <v>4</v>
      </c>
      <c r="B20" s="22" t="s">
        <v>24</v>
      </c>
      <c r="C20" s="17" t="s">
        <v>118</v>
      </c>
      <c r="D20" s="22">
        <v>14</v>
      </c>
      <c r="E20" s="17">
        <v>24</v>
      </c>
      <c r="F20" s="21">
        <v>7400</v>
      </c>
      <c r="G20" s="23">
        <f t="shared" si="0"/>
        <v>24.864</v>
      </c>
    </row>
    <row r="21" spans="1:7" ht="12.75">
      <c r="A21" s="16" t="s">
        <v>25</v>
      </c>
      <c r="B21" s="20"/>
      <c r="C21" s="17"/>
      <c r="D21" s="19">
        <v>65</v>
      </c>
      <c r="E21" s="95"/>
      <c r="F21" s="22"/>
      <c r="G21" s="123">
        <f>SUM(G7:G20)</f>
        <v>139.3764</v>
      </c>
    </row>
    <row r="22" spans="8:9" ht="12.75">
      <c r="H22" s="103"/>
      <c r="I22" s="13"/>
    </row>
    <row r="23" spans="8:9" ht="12.75">
      <c r="H23" s="13"/>
      <c r="I23" s="13"/>
    </row>
  </sheetData>
  <sheetProtection/>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G15"/>
  <sheetViews>
    <sheetView zoomScalePageLayoutView="0" workbookViewId="0" topLeftCell="A1">
      <selection activeCell="G19" sqref="G19"/>
    </sheetView>
  </sheetViews>
  <sheetFormatPr defaultColWidth="9.140625" defaultRowHeight="12.75"/>
  <cols>
    <col min="1" max="1" width="9.140625" style="99" customWidth="1"/>
    <col min="2" max="2" width="23.421875" style="99" customWidth="1"/>
    <col min="3" max="3" width="49.28125" style="99" customWidth="1"/>
    <col min="4" max="4" width="11.7109375" style="99" customWidth="1"/>
    <col min="5" max="5" width="10.140625" style="99" customWidth="1"/>
    <col min="6" max="6" width="14.140625" style="99" customWidth="1"/>
    <col min="7" max="16384" width="9.140625" style="99" customWidth="1"/>
  </cols>
  <sheetData>
    <row r="1" spans="1:7" ht="15.75">
      <c r="A1" s="147"/>
      <c r="B1" s="677"/>
      <c r="C1" s="677"/>
      <c r="D1" s="677"/>
      <c r="E1" s="677"/>
      <c r="F1" s="677"/>
      <c r="G1" s="270"/>
    </row>
    <row r="2" spans="1:7" ht="12.75">
      <c r="A2" s="147"/>
      <c r="B2" s="147"/>
      <c r="C2" s="147"/>
      <c r="D2" s="147"/>
      <c r="E2" s="147"/>
      <c r="F2" s="185"/>
      <c r="G2" s="147"/>
    </row>
    <row r="3" spans="1:7" ht="19.5" customHeight="1">
      <c r="A3" s="147"/>
      <c r="B3" s="593" t="s">
        <v>345</v>
      </c>
      <c r="C3" s="593"/>
      <c r="D3" s="593"/>
      <c r="E3" s="593"/>
      <c r="F3" s="593"/>
      <c r="G3" s="147"/>
    </row>
    <row r="4" spans="1:7" ht="26.25" customHeight="1" thickBot="1">
      <c r="A4" s="147"/>
      <c r="B4" s="678" t="s">
        <v>277</v>
      </c>
      <c r="C4" s="678"/>
      <c r="D4" s="147"/>
      <c r="E4" s="147"/>
      <c r="F4" s="185"/>
      <c r="G4" s="147"/>
    </row>
    <row r="5" spans="1:7" ht="24.75" thickBot="1">
      <c r="A5" s="152"/>
      <c r="B5" s="184" t="s">
        <v>51</v>
      </c>
      <c r="C5" s="2" t="s">
        <v>38</v>
      </c>
      <c r="D5" s="2" t="s">
        <v>166</v>
      </c>
      <c r="E5" s="2" t="s">
        <v>135</v>
      </c>
      <c r="F5" s="2" t="s">
        <v>52</v>
      </c>
      <c r="G5" s="147"/>
    </row>
    <row r="6" spans="1:7" ht="24.75" customHeight="1" thickBot="1">
      <c r="A6" s="64"/>
      <c r="B6" s="268" t="s">
        <v>188</v>
      </c>
      <c r="C6" s="81" t="s">
        <v>255</v>
      </c>
      <c r="D6" s="186">
        <v>10462</v>
      </c>
      <c r="E6" s="186">
        <v>150</v>
      </c>
      <c r="F6" s="187">
        <f>(D6*E6)/100000</f>
        <v>15.693</v>
      </c>
      <c r="G6" s="147"/>
    </row>
    <row r="7" spans="1:7" ht="36.75" thickBot="1">
      <c r="A7" s="153"/>
      <c r="B7" s="268" t="s">
        <v>187</v>
      </c>
      <c r="C7" s="81" t="s">
        <v>278</v>
      </c>
      <c r="D7" s="186">
        <v>51738</v>
      </c>
      <c r="E7" s="186">
        <v>50</v>
      </c>
      <c r="F7" s="187">
        <f>(D7*E7)/100000</f>
        <v>25.869</v>
      </c>
      <c r="G7" s="147"/>
    </row>
    <row r="8" spans="1:7" ht="26.25" customHeight="1" thickBot="1">
      <c r="A8" s="154"/>
      <c r="B8" s="268" t="s">
        <v>188</v>
      </c>
      <c r="C8" s="81" t="s">
        <v>189</v>
      </c>
      <c r="D8" s="188">
        <v>129</v>
      </c>
      <c r="E8" s="188">
        <v>10000</v>
      </c>
      <c r="F8" s="187">
        <f>(D8*E8)/100000</f>
        <v>12.9</v>
      </c>
      <c r="G8" s="147"/>
    </row>
    <row r="9" spans="1:7" ht="13.5" thickBot="1">
      <c r="A9" s="64" t="s">
        <v>7</v>
      </c>
      <c r="B9" s="674" t="s">
        <v>72</v>
      </c>
      <c r="C9" s="675"/>
      <c r="D9" s="675"/>
      <c r="E9" s="676"/>
      <c r="F9" s="187">
        <f>SUM(F6:F8)</f>
        <v>54.461999999999996</v>
      </c>
      <c r="G9" s="147"/>
    </row>
    <row r="10" spans="1:7" ht="13.5" thickBot="1">
      <c r="A10" s="153" t="s">
        <v>19</v>
      </c>
      <c r="B10" s="189"/>
      <c r="C10" s="190" t="s">
        <v>85</v>
      </c>
      <c r="D10" s="190"/>
      <c r="E10" s="191"/>
      <c r="F10" s="187">
        <f>F9*0.1</f>
        <v>5.4462</v>
      </c>
      <c r="G10" s="147"/>
    </row>
    <row r="11" spans="1:7" ht="13.5" thickBot="1">
      <c r="A11" s="153" t="s">
        <v>78</v>
      </c>
      <c r="B11" s="674" t="s">
        <v>167</v>
      </c>
      <c r="C11" s="675"/>
      <c r="D11" s="675"/>
      <c r="E11" s="676"/>
      <c r="F11" s="187">
        <f>(F9+F10)*0.1</f>
        <v>5.990819999999999</v>
      </c>
      <c r="G11" s="147"/>
    </row>
    <row r="12" spans="1:7" ht="13.5" thickBot="1">
      <c r="A12" s="154" t="s">
        <v>151</v>
      </c>
      <c r="B12" s="192"/>
      <c r="C12" s="262" t="s">
        <v>86</v>
      </c>
      <c r="D12" s="262"/>
      <c r="E12" s="263"/>
      <c r="F12" s="264">
        <f>(F9+F10+F11)*0.15</f>
        <v>9.884852999999998</v>
      </c>
      <c r="G12" s="147"/>
    </row>
    <row r="13" spans="1:7" ht="13.5" thickBot="1">
      <c r="A13" s="265" t="s">
        <v>152</v>
      </c>
      <c r="B13" s="266"/>
      <c r="C13" s="266" t="s">
        <v>247</v>
      </c>
      <c r="D13" s="266"/>
      <c r="E13" s="266"/>
      <c r="F13" s="267">
        <f>F9+F11+F12</f>
        <v>70.337673</v>
      </c>
      <c r="G13" s="147"/>
    </row>
    <row r="14" spans="1:7" ht="12.75">
      <c r="A14" s="147"/>
      <c r="B14" s="147"/>
      <c r="C14" s="147"/>
      <c r="D14" s="147"/>
      <c r="E14" s="147"/>
      <c r="F14" s="185"/>
      <c r="G14" s="147"/>
    </row>
    <row r="15" ht="12.75">
      <c r="B15" s="99" t="s">
        <v>346</v>
      </c>
    </row>
  </sheetData>
  <sheetProtection/>
  <mergeCells count="5">
    <mergeCell ref="B9:E9"/>
    <mergeCell ref="B11:E11"/>
    <mergeCell ref="B1:F1"/>
    <mergeCell ref="B3:F3"/>
    <mergeCell ref="B4:C4"/>
  </mergeCells>
  <printOptions horizontalCentered="1"/>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54"/>
  <sheetViews>
    <sheetView zoomScale="110" zoomScaleNormal="110" zoomScalePageLayoutView="0" workbookViewId="0" topLeftCell="A40">
      <selection activeCell="H12" sqref="H12"/>
    </sheetView>
  </sheetViews>
  <sheetFormatPr defaultColWidth="9.140625" defaultRowHeight="12.75"/>
  <cols>
    <col min="1" max="1" width="5.57421875" style="384" customWidth="1"/>
    <col min="2" max="2" width="39.00390625" style="384" bestFit="1" customWidth="1"/>
    <col min="3" max="3" width="4.421875" style="384" bestFit="1" customWidth="1"/>
    <col min="4" max="4" width="12.28125" style="384" bestFit="1" customWidth="1"/>
    <col min="5" max="5" width="11.140625" style="384" bestFit="1" customWidth="1"/>
    <col min="6" max="6" width="9.8515625" style="384" bestFit="1" customWidth="1"/>
    <col min="7" max="7" width="61.7109375" style="384" bestFit="1" customWidth="1"/>
    <col min="8" max="9" width="9.140625" style="384" customWidth="1"/>
    <col min="10" max="10" width="11.00390625" style="384" bestFit="1" customWidth="1"/>
    <col min="11" max="16384" width="9.140625" style="384" customWidth="1"/>
  </cols>
  <sheetData>
    <row r="1" spans="1:5" ht="12">
      <c r="A1" s="679" t="s">
        <v>331</v>
      </c>
      <c r="B1" s="679"/>
      <c r="C1" s="679"/>
      <c r="D1" s="679"/>
      <c r="E1" s="679"/>
    </row>
    <row r="2" spans="1:5" ht="12">
      <c r="A2" s="383"/>
      <c r="B2" s="383"/>
      <c r="C2" s="383"/>
      <c r="D2" s="383"/>
      <c r="E2" s="383"/>
    </row>
    <row r="3" ht="12">
      <c r="A3" s="385" t="s">
        <v>263</v>
      </c>
    </row>
    <row r="4" ht="12">
      <c r="A4" s="384" t="s">
        <v>221</v>
      </c>
    </row>
    <row r="5" ht="12">
      <c r="A5" s="384" t="s">
        <v>227</v>
      </c>
    </row>
    <row r="6" ht="12">
      <c r="A6" s="384" t="s">
        <v>341</v>
      </c>
    </row>
    <row r="7" ht="12">
      <c r="A7" s="384" t="s">
        <v>222</v>
      </c>
    </row>
    <row r="8" ht="12">
      <c r="A8" s="384" t="s">
        <v>407</v>
      </c>
    </row>
    <row r="9" spans="1:7" ht="12">
      <c r="A9" s="386" t="s">
        <v>205</v>
      </c>
      <c r="B9" s="386" t="s">
        <v>206</v>
      </c>
      <c r="C9" s="386" t="s">
        <v>207</v>
      </c>
      <c r="D9" s="386" t="s">
        <v>214</v>
      </c>
      <c r="E9" s="386" t="s">
        <v>215</v>
      </c>
      <c r="F9" s="386" t="s">
        <v>212</v>
      </c>
      <c r="G9" s="386" t="s">
        <v>213</v>
      </c>
    </row>
    <row r="10" spans="1:7" ht="12">
      <c r="A10" s="386">
        <v>1</v>
      </c>
      <c r="B10" s="386" t="s">
        <v>322</v>
      </c>
      <c r="C10" s="386">
        <v>2</v>
      </c>
      <c r="D10" s="386">
        <v>0</v>
      </c>
      <c r="E10" s="386">
        <v>44</v>
      </c>
      <c r="F10" s="386">
        <f>C10*D10*E10</f>
        <v>0</v>
      </c>
      <c r="G10" s="386" t="s">
        <v>340</v>
      </c>
    </row>
    <row r="11" spans="1:7" ht="12">
      <c r="A11" s="386">
        <v>2</v>
      </c>
      <c r="B11" s="386" t="s">
        <v>208</v>
      </c>
      <c r="C11" s="386">
        <v>10</v>
      </c>
      <c r="D11" s="386">
        <v>0</v>
      </c>
      <c r="E11" s="386">
        <v>0</v>
      </c>
      <c r="F11" s="386">
        <v>0</v>
      </c>
      <c r="G11" s="386" t="s">
        <v>218</v>
      </c>
    </row>
    <row r="12" spans="1:7" ht="12">
      <c r="A12" s="386">
        <v>3</v>
      </c>
      <c r="B12" s="386" t="s">
        <v>226</v>
      </c>
      <c r="C12" s="386" t="s">
        <v>148</v>
      </c>
      <c r="D12" s="386"/>
      <c r="E12" s="386"/>
      <c r="F12" s="386">
        <v>0</v>
      </c>
      <c r="G12" s="386" t="s">
        <v>230</v>
      </c>
    </row>
    <row r="13" spans="1:7" ht="12">
      <c r="A13" s="386">
        <v>4</v>
      </c>
      <c r="B13" s="386" t="s">
        <v>229</v>
      </c>
      <c r="C13" s="386" t="s">
        <v>148</v>
      </c>
      <c r="D13" s="386"/>
      <c r="E13" s="386"/>
      <c r="F13" s="386">
        <v>200000</v>
      </c>
      <c r="G13" s="386" t="s">
        <v>228</v>
      </c>
    </row>
    <row r="14" spans="1:7" ht="12">
      <c r="A14" s="386">
        <v>5</v>
      </c>
      <c r="B14" s="386" t="s">
        <v>209</v>
      </c>
      <c r="C14" s="386">
        <v>1</v>
      </c>
      <c r="D14" s="386">
        <v>1</v>
      </c>
      <c r="E14" s="386">
        <v>44</v>
      </c>
      <c r="F14" s="386">
        <v>0</v>
      </c>
      <c r="G14" s="386" t="s">
        <v>231</v>
      </c>
    </row>
    <row r="15" spans="1:7" ht="12">
      <c r="A15" s="386">
        <v>6</v>
      </c>
      <c r="B15" s="386" t="s">
        <v>210</v>
      </c>
      <c r="C15" s="387">
        <v>30</v>
      </c>
      <c r="D15" s="386">
        <v>25</v>
      </c>
      <c r="E15" s="386">
        <v>44</v>
      </c>
      <c r="F15" s="386">
        <f>C15*D15*E15</f>
        <v>33000</v>
      </c>
      <c r="G15" s="386" t="s">
        <v>219</v>
      </c>
    </row>
    <row r="16" spans="1:7" ht="12.75" thickBot="1">
      <c r="A16" s="388">
        <v>7</v>
      </c>
      <c r="B16" s="388" t="s">
        <v>211</v>
      </c>
      <c r="C16" s="388">
        <v>33</v>
      </c>
      <c r="D16" s="388">
        <v>200</v>
      </c>
      <c r="E16" s="386">
        <v>44</v>
      </c>
      <c r="F16" s="388">
        <f>C16*D16*E16</f>
        <v>290400</v>
      </c>
      <c r="G16" s="388" t="s">
        <v>219</v>
      </c>
    </row>
    <row r="17" spans="1:7" ht="12.75" thickBot="1">
      <c r="A17" s="389">
        <v>8</v>
      </c>
      <c r="B17" s="390" t="s">
        <v>216</v>
      </c>
      <c r="C17" s="390"/>
      <c r="D17" s="390"/>
      <c r="E17" s="390"/>
      <c r="F17" s="391">
        <f>SUM(F10:F16)</f>
        <v>523400</v>
      </c>
      <c r="G17" s="392" t="s">
        <v>219</v>
      </c>
    </row>
    <row r="18" spans="1:7" s="395" customFormat="1" ht="12">
      <c r="A18" s="393"/>
      <c r="B18" s="393"/>
      <c r="C18" s="393"/>
      <c r="D18" s="393"/>
      <c r="E18" s="393"/>
      <c r="F18" s="394">
        <f>F17/100000</f>
        <v>5.234</v>
      </c>
      <c r="G18" s="393"/>
    </row>
    <row r="19" ht="12">
      <c r="A19" s="385" t="s">
        <v>248</v>
      </c>
    </row>
    <row r="20" ht="12">
      <c r="A20" s="384" t="s">
        <v>221</v>
      </c>
    </row>
    <row r="21" ht="12">
      <c r="A21" s="384" t="s">
        <v>227</v>
      </c>
    </row>
    <row r="22" ht="12">
      <c r="A22" s="384" t="s">
        <v>342</v>
      </c>
    </row>
    <row r="23" ht="12">
      <c r="A23" s="384" t="s">
        <v>223</v>
      </c>
    </row>
    <row r="24" ht="12">
      <c r="A24" s="384" t="s">
        <v>408</v>
      </c>
    </row>
    <row r="25" spans="1:7" ht="12">
      <c r="A25" s="386" t="s">
        <v>205</v>
      </c>
      <c r="B25" s="386" t="s">
        <v>206</v>
      </c>
      <c r="C25" s="386" t="s">
        <v>207</v>
      </c>
      <c r="D25" s="386" t="s">
        <v>214</v>
      </c>
      <c r="E25" s="386" t="s">
        <v>215</v>
      </c>
      <c r="F25" s="386" t="s">
        <v>212</v>
      </c>
      <c r="G25" s="386" t="s">
        <v>213</v>
      </c>
    </row>
    <row r="26" spans="1:7" ht="12">
      <c r="A26" s="386">
        <v>1</v>
      </c>
      <c r="B26" s="386" t="s">
        <v>321</v>
      </c>
      <c r="C26" s="386">
        <v>1</v>
      </c>
      <c r="D26" s="386">
        <v>0</v>
      </c>
      <c r="E26" s="386">
        <v>22</v>
      </c>
      <c r="F26" s="386">
        <f>C26*D26*E26</f>
        <v>0</v>
      </c>
      <c r="G26" s="386" t="s">
        <v>197</v>
      </c>
    </row>
    <row r="27" spans="1:7" ht="12">
      <c r="A27" s="386">
        <v>2</v>
      </c>
      <c r="B27" s="386" t="s">
        <v>208</v>
      </c>
      <c r="C27" s="386">
        <v>10</v>
      </c>
      <c r="D27" s="386">
        <v>0</v>
      </c>
      <c r="E27" s="386">
        <v>0</v>
      </c>
      <c r="F27" s="386">
        <v>0</v>
      </c>
      <c r="G27" s="386" t="s">
        <v>218</v>
      </c>
    </row>
    <row r="28" spans="1:7" ht="12">
      <c r="A28" s="386">
        <v>3</v>
      </c>
      <c r="B28" s="386" t="s">
        <v>209</v>
      </c>
      <c r="C28" s="386">
        <v>1</v>
      </c>
      <c r="D28" s="386">
        <v>1</v>
      </c>
      <c r="E28" s="386">
        <v>22</v>
      </c>
      <c r="F28" s="386">
        <v>0</v>
      </c>
      <c r="G28" s="386" t="s">
        <v>217</v>
      </c>
    </row>
    <row r="29" spans="1:7" ht="12">
      <c r="A29" s="386">
        <v>4</v>
      </c>
      <c r="B29" s="386" t="s">
        <v>210</v>
      </c>
      <c r="C29" s="387">
        <v>15</v>
      </c>
      <c r="D29" s="386">
        <v>25</v>
      </c>
      <c r="E29" s="386">
        <v>22</v>
      </c>
      <c r="F29" s="386">
        <f>C29*D29*E29</f>
        <v>8250</v>
      </c>
      <c r="G29" s="386" t="s">
        <v>219</v>
      </c>
    </row>
    <row r="30" spans="1:7" ht="12.75" thickBot="1">
      <c r="A30" s="388">
        <v>5</v>
      </c>
      <c r="B30" s="388" t="s">
        <v>211</v>
      </c>
      <c r="C30" s="388">
        <v>18</v>
      </c>
      <c r="D30" s="388">
        <v>200</v>
      </c>
      <c r="E30" s="386">
        <v>22</v>
      </c>
      <c r="F30" s="388">
        <f>C30*D30*E30</f>
        <v>79200</v>
      </c>
      <c r="G30" s="388" t="s">
        <v>219</v>
      </c>
    </row>
    <row r="31" spans="1:7" ht="12.75" thickBot="1">
      <c r="A31" s="389">
        <v>6</v>
      </c>
      <c r="B31" s="390" t="s">
        <v>233</v>
      </c>
      <c r="C31" s="390"/>
      <c r="D31" s="390"/>
      <c r="E31" s="390"/>
      <c r="F31" s="391">
        <f>SUM(F26:F30)</f>
        <v>87450</v>
      </c>
      <c r="G31" s="392" t="s">
        <v>219</v>
      </c>
    </row>
    <row r="32" spans="1:7" s="395" customFormat="1" ht="12">
      <c r="A32" s="393"/>
      <c r="B32" s="393"/>
      <c r="C32" s="393"/>
      <c r="D32" s="393"/>
      <c r="E32" s="393"/>
      <c r="F32" s="394">
        <f>F31/100000</f>
        <v>0.8745</v>
      </c>
      <c r="G32" s="393"/>
    </row>
    <row r="33" ht="12">
      <c r="A33" s="385" t="s">
        <v>249</v>
      </c>
    </row>
    <row r="34" ht="12">
      <c r="A34" s="384" t="s">
        <v>221</v>
      </c>
    </row>
    <row r="35" ht="12">
      <c r="A35" s="384" t="s">
        <v>227</v>
      </c>
    </row>
    <row r="36" ht="12">
      <c r="A36" s="384" t="s">
        <v>342</v>
      </c>
    </row>
    <row r="37" ht="12">
      <c r="A37" s="384" t="s">
        <v>224</v>
      </c>
    </row>
    <row r="38" ht="12">
      <c r="A38" s="384" t="s">
        <v>409</v>
      </c>
    </row>
    <row r="39" spans="1:7" ht="12">
      <c r="A39" s="386" t="s">
        <v>205</v>
      </c>
      <c r="B39" s="386" t="s">
        <v>206</v>
      </c>
      <c r="C39" s="386" t="s">
        <v>207</v>
      </c>
      <c r="D39" s="386" t="s">
        <v>214</v>
      </c>
      <c r="E39" s="386" t="s">
        <v>215</v>
      </c>
      <c r="F39" s="386" t="s">
        <v>212</v>
      </c>
      <c r="G39" s="386" t="s">
        <v>213</v>
      </c>
    </row>
    <row r="40" spans="1:7" ht="12">
      <c r="A40" s="386">
        <v>1</v>
      </c>
      <c r="B40" s="386" t="s">
        <v>320</v>
      </c>
      <c r="C40" s="386">
        <v>1</v>
      </c>
      <c r="D40" s="386">
        <v>0</v>
      </c>
      <c r="E40" s="386">
        <v>22</v>
      </c>
      <c r="F40" s="386">
        <f>C40*D40*E40</f>
        <v>0</v>
      </c>
      <c r="G40" s="386" t="s">
        <v>264</v>
      </c>
    </row>
    <row r="41" spans="1:7" ht="12">
      <c r="A41" s="386">
        <v>2</v>
      </c>
      <c r="B41" s="386" t="s">
        <v>208</v>
      </c>
      <c r="C41" s="386">
        <v>9</v>
      </c>
      <c r="D41" s="386">
        <v>0</v>
      </c>
      <c r="E41" s="386">
        <v>0</v>
      </c>
      <c r="F41" s="386">
        <v>0</v>
      </c>
      <c r="G41" s="386" t="s">
        <v>218</v>
      </c>
    </row>
    <row r="42" spans="1:7" ht="12">
      <c r="A42" s="386">
        <v>3</v>
      </c>
      <c r="B42" s="386" t="s">
        <v>209</v>
      </c>
      <c r="C42" s="386">
        <v>1</v>
      </c>
      <c r="D42" s="386">
        <v>1</v>
      </c>
      <c r="E42" s="386">
        <v>22</v>
      </c>
      <c r="F42" s="386">
        <v>0</v>
      </c>
      <c r="G42" s="386" t="s">
        <v>217</v>
      </c>
    </row>
    <row r="43" spans="1:7" ht="12">
      <c r="A43" s="386">
        <v>4</v>
      </c>
      <c r="B43" s="386" t="s">
        <v>210</v>
      </c>
      <c r="C43" s="387">
        <v>9</v>
      </c>
      <c r="D43" s="386">
        <v>25</v>
      </c>
      <c r="E43" s="386">
        <v>22</v>
      </c>
      <c r="F43" s="386">
        <f>C43*D43*E43</f>
        <v>4950</v>
      </c>
      <c r="G43" s="386" t="s">
        <v>219</v>
      </c>
    </row>
    <row r="44" spans="1:7" ht="12.75" thickBot="1">
      <c r="A44" s="388">
        <v>5</v>
      </c>
      <c r="B44" s="388" t="s">
        <v>211</v>
      </c>
      <c r="C44" s="388">
        <v>10</v>
      </c>
      <c r="D44" s="388">
        <v>200</v>
      </c>
      <c r="E44" s="386">
        <v>22</v>
      </c>
      <c r="F44" s="388">
        <f>C44*D44*E44</f>
        <v>44000</v>
      </c>
      <c r="G44" s="388" t="s">
        <v>219</v>
      </c>
    </row>
    <row r="45" spans="1:7" ht="12">
      <c r="A45" s="396">
        <v>6</v>
      </c>
      <c r="B45" s="397" t="s">
        <v>232</v>
      </c>
      <c r="C45" s="397"/>
      <c r="D45" s="397"/>
      <c r="E45" s="397"/>
      <c r="F45" s="398">
        <f>SUM(F40:F44)</f>
        <v>48950</v>
      </c>
      <c r="G45" s="399" t="s">
        <v>219</v>
      </c>
    </row>
    <row r="46" spans="1:7" s="395" customFormat="1" ht="12">
      <c r="A46" s="400"/>
      <c r="B46" s="401"/>
      <c r="C46" s="401"/>
      <c r="D46" s="401"/>
      <c r="E46" s="401"/>
      <c r="F46" s="402">
        <f>F45/100000</f>
        <v>0.4895</v>
      </c>
      <c r="G46" s="403"/>
    </row>
    <row r="47" spans="1:11" ht="12">
      <c r="A47" s="386"/>
      <c r="B47" s="386"/>
      <c r="C47" s="386"/>
      <c r="D47" s="386"/>
      <c r="E47" s="386"/>
      <c r="F47" s="386"/>
      <c r="G47" s="386"/>
      <c r="I47" s="404"/>
      <c r="J47" s="404"/>
      <c r="K47" s="404"/>
    </row>
    <row r="48" spans="1:11" ht="12">
      <c r="A48" s="405" t="s">
        <v>254</v>
      </c>
      <c r="B48" s="406"/>
      <c r="C48" s="406"/>
      <c r="D48" s="406"/>
      <c r="E48" s="406"/>
      <c r="F48" s="406"/>
      <c r="G48" s="406"/>
      <c r="I48" s="404"/>
      <c r="J48" s="404"/>
      <c r="K48" s="404"/>
    </row>
    <row r="49" spans="1:11" ht="12">
      <c r="A49" s="406" t="s">
        <v>250</v>
      </c>
      <c r="B49" s="406"/>
      <c r="C49" s="406"/>
      <c r="D49" s="406"/>
      <c r="E49" s="406"/>
      <c r="F49" s="406">
        <f>F17*1</f>
        <v>523400</v>
      </c>
      <c r="G49" s="406" t="s">
        <v>265</v>
      </c>
      <c r="I49" s="404"/>
      <c r="J49" s="404"/>
      <c r="K49" s="404"/>
    </row>
    <row r="50" spans="1:11" ht="12">
      <c r="A50" s="406" t="s">
        <v>251</v>
      </c>
      <c r="B50" s="406"/>
      <c r="C50" s="406"/>
      <c r="D50" s="406"/>
      <c r="E50" s="406"/>
      <c r="F50" s="406">
        <f>F31*1</f>
        <v>87450</v>
      </c>
      <c r="G50" s="406" t="s">
        <v>220</v>
      </c>
      <c r="I50" s="404"/>
      <c r="J50" s="404"/>
      <c r="K50" s="404"/>
    </row>
    <row r="51" spans="1:11" ht="12.75" thickBot="1">
      <c r="A51" s="406" t="s">
        <v>252</v>
      </c>
      <c r="B51" s="406"/>
      <c r="C51" s="406"/>
      <c r="D51" s="406"/>
      <c r="E51" s="406"/>
      <c r="F51" s="406">
        <f>F45*1</f>
        <v>48950</v>
      </c>
      <c r="G51" s="406" t="s">
        <v>225</v>
      </c>
      <c r="I51" s="404"/>
      <c r="J51" s="404"/>
      <c r="K51" s="404"/>
    </row>
    <row r="52" spans="1:11" ht="12.75" thickBot="1">
      <c r="A52" s="407" t="s">
        <v>253</v>
      </c>
      <c r="B52" s="408"/>
      <c r="C52" s="408"/>
      <c r="D52" s="408"/>
      <c r="E52" s="408"/>
      <c r="F52" s="407">
        <f>SUM(F49:F51)</f>
        <v>659800</v>
      </c>
      <c r="G52" s="392" t="s">
        <v>219</v>
      </c>
      <c r="I52" s="404"/>
      <c r="J52" s="404"/>
      <c r="K52" s="404"/>
    </row>
    <row r="53" spans="6:7" ht="12">
      <c r="F53" s="385">
        <f>F52*1/100000</f>
        <v>6.598</v>
      </c>
      <c r="G53" s="409" t="s">
        <v>155</v>
      </c>
    </row>
    <row r="54" spans="1:8" s="385" customFormat="1" ht="12">
      <c r="A54" s="410" t="s">
        <v>330</v>
      </c>
      <c r="B54" s="411"/>
      <c r="C54" s="411"/>
      <c r="D54" s="411"/>
      <c r="E54" s="411"/>
      <c r="F54" s="411"/>
      <c r="G54" s="412"/>
      <c r="H54" s="413">
        <f>F46+F32+F18</f>
        <v>6.598</v>
      </c>
    </row>
  </sheetData>
  <sheetProtection/>
  <mergeCells count="1">
    <mergeCell ref="A1:E1"/>
  </mergeCells>
  <printOptions horizontalCentered="1" verticalCentered="1"/>
  <pageMargins left="0.95" right="0.95" top="0.5" bottom="0.5" header="0"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O29"/>
  <sheetViews>
    <sheetView zoomScalePageLayoutView="0" workbookViewId="0" topLeftCell="A16">
      <selection activeCell="G21" sqref="G21"/>
    </sheetView>
  </sheetViews>
  <sheetFormatPr defaultColWidth="9.140625" defaultRowHeight="12.75"/>
  <cols>
    <col min="1" max="1" width="6.7109375" style="0" customWidth="1"/>
    <col min="2" max="2" width="62.28125" style="0" customWidth="1"/>
    <col min="4" max="5" width="9.140625" style="0" customWidth="1"/>
    <col min="8" max="8" width="10.00390625" style="0" bestFit="1" customWidth="1"/>
    <col min="14" max="14" width="12.00390625" style="0" bestFit="1" customWidth="1"/>
    <col min="15" max="15" width="14.00390625" style="0" bestFit="1" customWidth="1"/>
  </cols>
  <sheetData>
    <row r="1" spans="1:5" ht="12.75">
      <c r="A1" s="165"/>
      <c r="E1" t="s">
        <v>257</v>
      </c>
    </row>
    <row r="2" spans="1:5" ht="15.75">
      <c r="A2" s="682" t="s">
        <v>261</v>
      </c>
      <c r="B2" s="682"/>
      <c r="C2" s="682"/>
      <c r="D2" s="682"/>
      <c r="E2" s="682"/>
    </row>
    <row r="3" spans="1:2" ht="15">
      <c r="A3" s="34" t="s">
        <v>262</v>
      </c>
      <c r="B3" s="273"/>
    </row>
    <row r="4" spans="1:5" ht="25.5">
      <c r="A4" s="683" t="s">
        <v>37</v>
      </c>
      <c r="B4" s="683" t="s">
        <v>176</v>
      </c>
      <c r="C4" s="683" t="s">
        <v>39</v>
      </c>
      <c r="D4" s="166" t="s">
        <v>67</v>
      </c>
      <c r="E4" s="683" t="s">
        <v>203</v>
      </c>
    </row>
    <row r="5" spans="1:5" ht="12.75">
      <c r="A5" s="683"/>
      <c r="B5" s="683"/>
      <c r="C5" s="683"/>
      <c r="D5" s="166" t="s">
        <v>204</v>
      </c>
      <c r="E5" s="683"/>
    </row>
    <row r="6" spans="1:5" ht="12.75">
      <c r="A6" s="168">
        <v>1</v>
      </c>
      <c r="B6" s="24" t="s">
        <v>343</v>
      </c>
      <c r="C6" s="168">
        <v>2</v>
      </c>
      <c r="D6" s="169">
        <v>0.75</v>
      </c>
      <c r="E6" s="193">
        <f>C6*D6</f>
        <v>1.5</v>
      </c>
    </row>
    <row r="7" spans="1:11" ht="25.5">
      <c r="A7" s="168">
        <v>2</v>
      </c>
      <c r="B7" s="24" t="s">
        <v>317</v>
      </c>
      <c r="C7" s="450">
        <v>6</v>
      </c>
      <c r="D7" s="451">
        <v>0.45</v>
      </c>
      <c r="E7" s="451">
        <f aca="true" t="shared" si="0" ref="E7:E18">C7*D7</f>
        <v>2.7</v>
      </c>
      <c r="F7" s="443">
        <f>C7*D7</f>
        <v>2.7</v>
      </c>
      <c r="I7">
        <v>2300</v>
      </c>
      <c r="J7">
        <v>76</v>
      </c>
      <c r="K7">
        <f>I7*J7</f>
        <v>174800</v>
      </c>
    </row>
    <row r="8" spans="1:11" ht="12.75">
      <c r="A8" s="168">
        <v>3</v>
      </c>
      <c r="B8" s="24" t="s">
        <v>242</v>
      </c>
      <c r="C8" s="450">
        <v>2</v>
      </c>
      <c r="D8" s="451">
        <v>0.75</v>
      </c>
      <c r="E8" s="451">
        <f t="shared" si="0"/>
        <v>1.5</v>
      </c>
      <c r="F8" s="443">
        <f>C8*D8</f>
        <v>1.5</v>
      </c>
      <c r="I8">
        <f>K8/J8</f>
        <v>15789.473684210527</v>
      </c>
      <c r="J8">
        <v>76</v>
      </c>
      <c r="K8">
        <v>1200000</v>
      </c>
    </row>
    <row r="9" spans="1:6" ht="12.75">
      <c r="A9" s="168">
        <v>4</v>
      </c>
      <c r="B9" s="452" t="s">
        <v>243</v>
      </c>
      <c r="C9" s="450">
        <v>1</v>
      </c>
      <c r="D9" s="451">
        <v>2</v>
      </c>
      <c r="E9" s="451">
        <f t="shared" si="0"/>
        <v>2</v>
      </c>
      <c r="F9" s="443">
        <f>C9*D9</f>
        <v>2</v>
      </c>
    </row>
    <row r="10" spans="1:6" ht="12.75">
      <c r="A10" s="168">
        <v>5</v>
      </c>
      <c r="B10" s="452" t="s">
        <v>344</v>
      </c>
      <c r="C10" s="450">
        <v>1</v>
      </c>
      <c r="D10" s="451">
        <v>8</v>
      </c>
      <c r="E10" s="451">
        <f t="shared" si="0"/>
        <v>8</v>
      </c>
      <c r="F10" s="443"/>
    </row>
    <row r="11" spans="1:6" ht="12.75">
      <c r="A11" s="168">
        <v>6</v>
      </c>
      <c r="B11" s="24" t="s">
        <v>177</v>
      </c>
      <c r="C11" s="450">
        <v>1</v>
      </c>
      <c r="D11" s="451">
        <v>0.5</v>
      </c>
      <c r="E11" s="451">
        <f t="shared" si="0"/>
        <v>0.5</v>
      </c>
      <c r="F11" s="443"/>
    </row>
    <row r="12" spans="1:6" ht="12.75">
      <c r="A12" s="168">
        <v>7</v>
      </c>
      <c r="B12" s="24" t="s">
        <v>178</v>
      </c>
      <c r="C12" s="450">
        <v>1</v>
      </c>
      <c r="D12" s="451">
        <v>0.35</v>
      </c>
      <c r="E12" s="451">
        <f t="shared" si="0"/>
        <v>0.35</v>
      </c>
      <c r="F12" s="443"/>
    </row>
    <row r="13" spans="1:6" ht="12.75">
      <c r="A13" s="168">
        <v>8</v>
      </c>
      <c r="B13" s="452" t="s">
        <v>244</v>
      </c>
      <c r="C13" s="450">
        <v>1</v>
      </c>
      <c r="D13" s="451">
        <v>15</v>
      </c>
      <c r="E13" s="451">
        <f t="shared" si="0"/>
        <v>15</v>
      </c>
      <c r="F13" s="443">
        <f>C13*D13</f>
        <v>15</v>
      </c>
    </row>
    <row r="14" spans="1:15" ht="12.75">
      <c r="A14" s="168">
        <v>9</v>
      </c>
      <c r="B14" s="24" t="s">
        <v>179</v>
      </c>
      <c r="C14" s="450">
        <v>2</v>
      </c>
      <c r="D14" s="451">
        <v>0.1</v>
      </c>
      <c r="E14" s="451">
        <f t="shared" si="0"/>
        <v>0.2</v>
      </c>
      <c r="F14" s="443"/>
      <c r="L14">
        <v>778214.57</v>
      </c>
      <c r="M14">
        <v>100000</v>
      </c>
      <c r="N14">
        <f>L14*M14</f>
        <v>77821457000</v>
      </c>
      <c r="O14">
        <v>6150</v>
      </c>
    </row>
    <row r="15" spans="1:15" ht="12.75">
      <c r="A15" s="168">
        <v>10</v>
      </c>
      <c r="B15" s="24" t="s">
        <v>180</v>
      </c>
      <c r="C15" s="450">
        <v>2</v>
      </c>
      <c r="D15" s="451">
        <v>0.5</v>
      </c>
      <c r="E15" s="451">
        <f t="shared" si="0"/>
        <v>1</v>
      </c>
      <c r="F15" s="443"/>
      <c r="N15" s="99" t="s">
        <v>376</v>
      </c>
      <c r="O15" s="362">
        <f>(N14/O14)/60.5</f>
        <v>209155.29664718136</v>
      </c>
    </row>
    <row r="16" spans="1:6" ht="12.75">
      <c r="A16" s="168">
        <v>11</v>
      </c>
      <c r="B16" s="452" t="s">
        <v>181</v>
      </c>
      <c r="C16" s="450">
        <v>1</v>
      </c>
      <c r="D16" s="451">
        <v>2</v>
      </c>
      <c r="E16" s="451">
        <f t="shared" si="0"/>
        <v>2</v>
      </c>
      <c r="F16" s="443"/>
    </row>
    <row r="17" spans="1:6" ht="12.75">
      <c r="A17" s="168">
        <v>12</v>
      </c>
      <c r="B17" s="452" t="s">
        <v>182</v>
      </c>
      <c r="C17" s="450">
        <v>1</v>
      </c>
      <c r="D17" s="451">
        <v>0.3</v>
      </c>
      <c r="E17" s="451">
        <f t="shared" si="0"/>
        <v>0.3</v>
      </c>
      <c r="F17" s="443"/>
    </row>
    <row r="18" spans="1:6" ht="12.75">
      <c r="A18" s="168">
        <v>14</v>
      </c>
      <c r="B18" s="452" t="s">
        <v>245</v>
      </c>
      <c r="C18" s="450">
        <v>1</v>
      </c>
      <c r="D18" s="451">
        <v>0.6</v>
      </c>
      <c r="E18" s="451">
        <f t="shared" si="0"/>
        <v>0.6</v>
      </c>
      <c r="F18" s="443"/>
    </row>
    <row r="19" spans="1:6" ht="12.75">
      <c r="A19" s="168">
        <v>15</v>
      </c>
      <c r="B19" s="452" t="s">
        <v>186</v>
      </c>
      <c r="C19" s="450">
        <v>1</v>
      </c>
      <c r="D19" s="451">
        <v>1</v>
      </c>
      <c r="E19" s="451">
        <v>1</v>
      </c>
      <c r="F19" s="443"/>
    </row>
    <row r="20" spans="1:6" ht="12.75">
      <c r="A20" s="168">
        <v>16</v>
      </c>
      <c r="B20" s="24" t="s">
        <v>319</v>
      </c>
      <c r="C20" s="450">
        <f>SUM(C7:C19)</f>
        <v>21</v>
      </c>
      <c r="D20" s="451"/>
      <c r="E20" s="451"/>
      <c r="F20" s="443"/>
    </row>
    <row r="21" spans="1:6" ht="15.75">
      <c r="A21" s="680">
        <v>17</v>
      </c>
      <c r="B21" s="213" t="s">
        <v>183</v>
      </c>
      <c r="C21" s="215"/>
      <c r="D21" s="281"/>
      <c r="E21" s="282"/>
      <c r="F21" s="443">
        <f>SUM(F7:F20)</f>
        <v>21.2</v>
      </c>
    </row>
    <row r="22" spans="1:6" ht="12.75">
      <c r="A22" s="680"/>
      <c r="B22" s="24" t="s">
        <v>246</v>
      </c>
      <c r="C22" s="168">
        <v>1</v>
      </c>
      <c r="D22" s="170">
        <v>20</v>
      </c>
      <c r="E22" s="193">
        <f>C22*D22</f>
        <v>20</v>
      </c>
      <c r="F22" s="138"/>
    </row>
    <row r="23" spans="1:5" ht="13.5" thickBot="1">
      <c r="A23" s="681"/>
      <c r="B23" s="172" t="s">
        <v>202</v>
      </c>
      <c r="C23" s="171">
        <v>1</v>
      </c>
      <c r="D23" s="173">
        <v>5</v>
      </c>
      <c r="E23" s="205">
        <f>C23*D23</f>
        <v>5</v>
      </c>
    </row>
    <row r="24" spans="1:5" ht="13.5" thickBot="1">
      <c r="A24" s="174" t="s">
        <v>7</v>
      </c>
      <c r="B24" s="175" t="s">
        <v>72</v>
      </c>
      <c r="C24" s="320">
        <f>C20+C22+C23</f>
        <v>23</v>
      </c>
      <c r="D24" s="176"/>
      <c r="E24" s="177">
        <f>SUM(E7:E23)</f>
        <v>60.15</v>
      </c>
    </row>
    <row r="25" spans="1:5" ht="13.5" thickBot="1">
      <c r="A25" s="36" t="s">
        <v>19</v>
      </c>
      <c r="B25" s="139" t="s">
        <v>172</v>
      </c>
      <c r="C25" s="37"/>
      <c r="D25" s="37"/>
      <c r="E25" s="178">
        <f>E24*0.1</f>
        <v>6.015000000000001</v>
      </c>
    </row>
    <row r="26" spans="1:5" ht="13.5" thickBot="1">
      <c r="A26" s="160" t="s">
        <v>78</v>
      </c>
      <c r="B26" s="161" t="s">
        <v>173</v>
      </c>
      <c r="C26" s="163"/>
      <c r="D26" s="163"/>
      <c r="E26" s="179">
        <f>SUM(E24:E25)</f>
        <v>66.16499999999999</v>
      </c>
    </row>
    <row r="27" spans="1:5" ht="13.5" thickBot="1">
      <c r="A27" s="36" t="s">
        <v>151</v>
      </c>
      <c r="B27" s="139" t="s">
        <v>174</v>
      </c>
      <c r="C27" s="37"/>
      <c r="D27" s="37"/>
      <c r="E27" s="39">
        <f>(E26*4)/100</f>
        <v>2.6466</v>
      </c>
    </row>
    <row r="28" spans="1:5" ht="13.5" thickBot="1">
      <c r="A28" s="35"/>
      <c r="B28" s="259" t="s">
        <v>175</v>
      </c>
      <c r="C28" s="260"/>
      <c r="D28" s="260"/>
      <c r="E28" s="144">
        <f>SUM(E26:E27)</f>
        <v>68.8116</v>
      </c>
    </row>
    <row r="29" spans="1:5" ht="12.75">
      <c r="A29" s="13"/>
      <c r="B29" s="167"/>
      <c r="C29" s="13"/>
      <c r="D29" s="13"/>
      <c r="E29" s="13"/>
    </row>
  </sheetData>
  <sheetProtection/>
  <mergeCells count="6">
    <mergeCell ref="A21:A23"/>
    <mergeCell ref="A2:E2"/>
    <mergeCell ref="A4:A5"/>
    <mergeCell ref="B4:B5"/>
    <mergeCell ref="C4:C5"/>
    <mergeCell ref="E4:E5"/>
  </mergeCells>
  <printOptions horizontalCentered="1" verticalCentered="1"/>
  <pageMargins left="0.95" right="0.95"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D14"/>
  <sheetViews>
    <sheetView zoomScalePageLayoutView="0" workbookViewId="0" topLeftCell="A1">
      <selection activeCell="B17" sqref="B17"/>
    </sheetView>
  </sheetViews>
  <sheetFormatPr defaultColWidth="9.140625" defaultRowHeight="12.75"/>
  <cols>
    <col min="1" max="1" width="4.140625" style="11" bestFit="1" customWidth="1"/>
    <col min="2" max="2" width="106.7109375" style="11" bestFit="1" customWidth="1"/>
    <col min="3" max="16384" width="9.140625" style="11" customWidth="1"/>
  </cols>
  <sheetData>
    <row r="1" ht="12.75">
      <c r="B1" s="12" t="s">
        <v>293</v>
      </c>
    </row>
    <row r="2" spans="1:3" ht="13.5" thickBot="1">
      <c r="A2" s="269"/>
      <c r="B2" s="269"/>
      <c r="C2" s="269"/>
    </row>
    <row r="3" spans="1:4" ht="13.5" thickBot="1">
      <c r="A3" s="217" t="s">
        <v>205</v>
      </c>
      <c r="B3" s="433" t="s">
        <v>352</v>
      </c>
      <c r="C3" s="434"/>
      <c r="D3" s="414"/>
    </row>
    <row r="4" spans="1:4" ht="12.75">
      <c r="A4" s="427">
        <v>1</v>
      </c>
      <c r="B4" s="422" t="s">
        <v>123</v>
      </c>
      <c r="C4" s="416"/>
      <c r="D4" s="414"/>
    </row>
    <row r="5" spans="1:4" ht="12.75">
      <c r="A5" s="428"/>
      <c r="B5" s="414" t="s">
        <v>373</v>
      </c>
      <c r="C5" s="417">
        <v>1.62</v>
      </c>
      <c r="D5" s="414"/>
    </row>
    <row r="6" spans="1:4" ht="12.75">
      <c r="A6" s="428"/>
      <c r="B6" s="414" t="s">
        <v>374</v>
      </c>
      <c r="C6" s="417">
        <v>0.825</v>
      </c>
      <c r="D6" s="414"/>
    </row>
    <row r="7" spans="1:4" ht="13.5" thickBot="1">
      <c r="A7" s="429"/>
      <c r="B7" s="423" t="s">
        <v>336</v>
      </c>
      <c r="C7" s="418">
        <v>2.4450000000000003</v>
      </c>
      <c r="D7" s="414"/>
    </row>
    <row r="8" spans="1:3" ht="13.5" thickBot="1">
      <c r="A8" s="431"/>
      <c r="B8" s="424"/>
      <c r="C8" s="415"/>
    </row>
    <row r="9" spans="1:3" ht="13.5" thickBot="1">
      <c r="A9" s="427">
        <v>2</v>
      </c>
      <c r="B9" s="421" t="s">
        <v>351</v>
      </c>
      <c r="C9" s="269"/>
    </row>
    <row r="10" spans="1:4" ht="12.75">
      <c r="A10" s="428"/>
      <c r="B10" s="425" t="s">
        <v>369</v>
      </c>
      <c r="C10" s="416">
        <v>1.44</v>
      </c>
      <c r="D10" s="414"/>
    </row>
    <row r="11" spans="1:4" ht="12.75">
      <c r="A11" s="428"/>
      <c r="B11" s="414" t="s">
        <v>370</v>
      </c>
      <c r="C11" s="417">
        <v>1.26</v>
      </c>
      <c r="D11" s="414"/>
    </row>
    <row r="12" spans="1:4" ht="13.5" thickBot="1">
      <c r="A12" s="430"/>
      <c r="B12" s="423" t="s">
        <v>337</v>
      </c>
      <c r="C12" s="418">
        <v>2.7</v>
      </c>
      <c r="D12" s="414"/>
    </row>
    <row r="13" spans="1:4" ht="13.5" thickBot="1">
      <c r="A13" s="432"/>
      <c r="B13" s="426" t="s">
        <v>353</v>
      </c>
      <c r="C13" s="420">
        <v>5.1450000000000005</v>
      </c>
      <c r="D13" s="414"/>
    </row>
    <row r="14" spans="1:3" ht="12.75">
      <c r="A14" s="419"/>
      <c r="B14" s="419"/>
      <c r="C14" s="419"/>
    </row>
  </sheetData>
  <sheetProtection/>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G57"/>
  <sheetViews>
    <sheetView zoomScalePageLayoutView="0" workbookViewId="0" topLeftCell="A34">
      <selection activeCell="F49" sqref="F49"/>
    </sheetView>
  </sheetViews>
  <sheetFormatPr defaultColWidth="58.8515625" defaultRowHeight="12.75"/>
  <cols>
    <col min="1" max="1" width="3.00390625" style="287" customWidth="1"/>
    <col min="2" max="2" width="54.140625" style="287" customWidth="1"/>
    <col min="3" max="3" width="7.00390625" style="287" bestFit="1" customWidth="1"/>
    <col min="4" max="4" width="8.28125" style="287" bestFit="1" customWidth="1"/>
    <col min="5" max="5" width="6.28125" style="287" customWidth="1"/>
    <col min="6" max="16384" width="58.8515625" style="287" customWidth="1"/>
  </cols>
  <sheetData>
    <row r="1" spans="1:5" ht="33.75" customHeight="1">
      <c r="A1" s="284" t="s">
        <v>138</v>
      </c>
      <c r="B1" s="284" t="s">
        <v>38</v>
      </c>
      <c r="C1" s="284" t="s">
        <v>139</v>
      </c>
      <c r="D1" s="284" t="s">
        <v>140</v>
      </c>
      <c r="E1" s="284" t="s">
        <v>272</v>
      </c>
    </row>
    <row r="2" spans="1:5" ht="12" customHeight="1">
      <c r="A2" s="287">
        <v>1</v>
      </c>
      <c r="B2" s="287" t="s">
        <v>363</v>
      </c>
      <c r="C2" s="288">
        <v>28</v>
      </c>
      <c r="D2" s="288" t="s">
        <v>148</v>
      </c>
      <c r="E2" s="289">
        <f>'1_GIS-RS Lab'!E28</f>
        <v>68.8116</v>
      </c>
    </row>
    <row r="3" spans="1:5" ht="12" customHeight="1">
      <c r="A3" s="291">
        <v>2</v>
      </c>
      <c r="B3" s="291" t="s">
        <v>324</v>
      </c>
      <c r="C3" s="292">
        <v>1</v>
      </c>
      <c r="D3" s="292" t="s">
        <v>142</v>
      </c>
      <c r="E3" s="293">
        <v>0</v>
      </c>
    </row>
    <row r="4" spans="1:5" ht="12" customHeight="1">
      <c r="A4" s="291"/>
      <c r="B4" s="291" t="s">
        <v>274</v>
      </c>
      <c r="C4" s="292"/>
      <c r="D4" s="292"/>
      <c r="E4" s="292"/>
    </row>
    <row r="5" spans="1:7" ht="12" customHeight="1">
      <c r="A5" s="287">
        <v>3</v>
      </c>
      <c r="B5" s="287" t="s">
        <v>360</v>
      </c>
      <c r="C5" s="288">
        <v>3</v>
      </c>
      <c r="D5" s="288" t="s">
        <v>142</v>
      </c>
      <c r="E5" s="289">
        <v>0</v>
      </c>
      <c r="G5" s="290"/>
    </row>
    <row r="6" ht="12" customHeight="1">
      <c r="B6" s="287" t="s">
        <v>274</v>
      </c>
    </row>
    <row r="7" spans="1:5" ht="12" customHeight="1">
      <c r="A7" s="291">
        <v>4</v>
      </c>
      <c r="B7" s="291" t="s">
        <v>361</v>
      </c>
      <c r="C7" s="291">
        <v>70</v>
      </c>
      <c r="D7" s="293" t="s">
        <v>142</v>
      </c>
      <c r="E7" s="294">
        <f>'3_CDMP_consultant_staff B-I'!G36</f>
        <v>90.9375</v>
      </c>
    </row>
    <row r="8" spans="1:5" ht="12" customHeight="1">
      <c r="A8" s="291"/>
      <c r="B8" s="291" t="s">
        <v>323</v>
      </c>
      <c r="C8" s="291"/>
      <c r="D8" s="294"/>
      <c r="E8" s="294"/>
    </row>
    <row r="9" spans="1:5" ht="12" customHeight="1">
      <c r="A9" s="287">
        <v>5</v>
      </c>
      <c r="B9" s="287" t="s">
        <v>302</v>
      </c>
      <c r="C9" s="287">
        <v>1000</v>
      </c>
      <c r="D9" s="290">
        <v>500</v>
      </c>
      <c r="E9" s="290">
        <f>'7_cost_Mouza AppI-(B-2)'!F6</f>
        <v>5</v>
      </c>
    </row>
    <row r="10" spans="2:5" ht="12" customHeight="1">
      <c r="B10" s="287" t="s">
        <v>269</v>
      </c>
      <c r="D10" s="290"/>
      <c r="E10" s="290"/>
    </row>
    <row r="11" spans="1:5" ht="12" customHeight="1">
      <c r="A11" s="291">
        <v>6</v>
      </c>
      <c r="B11" s="291" t="s">
        <v>303</v>
      </c>
      <c r="C11" s="291">
        <f>1600*1000</f>
        <v>1600000</v>
      </c>
      <c r="D11" s="294">
        <v>1</v>
      </c>
      <c r="E11" s="294">
        <f>'7_cost_Mouza AppI-(B-2)'!F13</f>
        <v>16</v>
      </c>
    </row>
    <row r="12" spans="1:5" ht="12" customHeight="1">
      <c r="A12" s="291"/>
      <c r="B12" s="291" t="s">
        <v>304</v>
      </c>
      <c r="C12" s="291"/>
      <c r="D12" s="294"/>
      <c r="E12" s="294"/>
    </row>
    <row r="13" spans="1:5" ht="12" customHeight="1">
      <c r="A13" s="287">
        <v>7</v>
      </c>
      <c r="B13" s="356" t="s">
        <v>305</v>
      </c>
      <c r="C13" s="287">
        <v>6</v>
      </c>
      <c r="D13" s="290">
        <v>25000</v>
      </c>
      <c r="E13" s="290">
        <f>'9_Site office_car_furniture'!F5</f>
        <v>1.5</v>
      </c>
    </row>
    <row r="14" spans="2:5" ht="12" customHeight="1">
      <c r="B14" s="356" t="s">
        <v>143</v>
      </c>
      <c r="D14" s="290"/>
      <c r="E14" s="290"/>
    </row>
    <row r="15" spans="2:5" ht="12" customHeight="1">
      <c r="B15" s="356" t="s">
        <v>144</v>
      </c>
      <c r="D15" s="290"/>
      <c r="E15" s="290"/>
    </row>
    <row r="16" spans="1:5" ht="12" customHeight="1">
      <c r="A16" s="291">
        <v>8</v>
      </c>
      <c r="B16" s="356" t="s">
        <v>306</v>
      </c>
      <c r="C16" s="291">
        <v>6</v>
      </c>
      <c r="D16" s="294">
        <v>60000</v>
      </c>
      <c r="E16" s="294">
        <f>'9_Site office_car_furniture'!F26</f>
        <v>3.6000000000000005</v>
      </c>
    </row>
    <row r="17" spans="1:5" ht="12" customHeight="1">
      <c r="A17" s="291"/>
      <c r="B17" s="356" t="s">
        <v>375</v>
      </c>
      <c r="C17" s="291"/>
      <c r="D17" s="294"/>
      <c r="E17" s="294"/>
    </row>
    <row r="18" spans="1:5" ht="12" customHeight="1">
      <c r="A18" s="287">
        <v>9</v>
      </c>
      <c r="B18" s="287" t="s">
        <v>307</v>
      </c>
      <c r="C18" s="287">
        <v>5533</v>
      </c>
      <c r="D18" s="290">
        <v>200</v>
      </c>
      <c r="E18" s="290">
        <f>'8_Other survey_UDD'!F11</f>
        <v>11.066</v>
      </c>
    </row>
    <row r="19" spans="2:5" ht="12" customHeight="1">
      <c r="B19" s="287" t="s">
        <v>145</v>
      </c>
      <c r="D19" s="290"/>
      <c r="E19" s="290"/>
    </row>
    <row r="20" spans="1:5" ht="12" customHeight="1">
      <c r="A20" s="291">
        <v>10</v>
      </c>
      <c r="B20" s="358" t="s">
        <v>364</v>
      </c>
      <c r="C20" s="291">
        <f>90*6</f>
        <v>540</v>
      </c>
      <c r="D20" s="294">
        <v>300</v>
      </c>
      <c r="E20" s="294">
        <f>'10_Honorarium_Contigency_others'!C23</f>
        <v>1.62</v>
      </c>
    </row>
    <row r="21" spans="1:5" ht="12" customHeight="1">
      <c r="A21" s="291"/>
      <c r="B21" s="358" t="s">
        <v>367</v>
      </c>
      <c r="C21" s="291"/>
      <c r="D21" s="294"/>
      <c r="E21" s="294"/>
    </row>
    <row r="22" spans="1:5" ht="12" customHeight="1">
      <c r="A22" s="291"/>
      <c r="B22" s="358" t="s">
        <v>372</v>
      </c>
      <c r="C22" s="291"/>
      <c r="D22" s="294"/>
      <c r="E22" s="294"/>
    </row>
    <row r="23" spans="1:5" ht="12" customHeight="1">
      <c r="A23" s="287">
        <v>11</v>
      </c>
      <c r="B23" s="358" t="s">
        <v>365</v>
      </c>
      <c r="C23" s="287">
        <f>55*3</f>
        <v>165</v>
      </c>
      <c r="D23" s="290">
        <v>500</v>
      </c>
      <c r="E23" s="290">
        <f>'10_Honorarium_Contigency_others'!C24</f>
        <v>0.825</v>
      </c>
    </row>
    <row r="24" spans="2:5" ht="12" customHeight="1">
      <c r="B24" s="358" t="s">
        <v>368</v>
      </c>
      <c r="D24" s="290"/>
      <c r="E24" s="290"/>
    </row>
    <row r="25" spans="2:5" ht="12" customHeight="1">
      <c r="B25" s="358" t="s">
        <v>355</v>
      </c>
      <c r="D25" s="290"/>
      <c r="E25" s="290"/>
    </row>
    <row r="26" spans="1:5" ht="12" customHeight="1">
      <c r="A26" s="291">
        <v>12</v>
      </c>
      <c r="B26" s="356" t="s">
        <v>354</v>
      </c>
      <c r="C26" s="291">
        <f>10*120</f>
        <v>1200</v>
      </c>
      <c r="D26" s="294">
        <v>120</v>
      </c>
      <c r="E26" s="294">
        <f>'10_Honorarium_Contigency_others'!C28</f>
        <v>1.44</v>
      </c>
    </row>
    <row r="27" spans="1:5" ht="12" customHeight="1">
      <c r="A27" s="291"/>
      <c r="B27" s="356" t="s">
        <v>356</v>
      </c>
      <c r="C27" s="291"/>
      <c r="D27" s="294"/>
      <c r="E27" s="294"/>
    </row>
    <row r="28" spans="1:5" ht="12" customHeight="1">
      <c r="A28" s="291"/>
      <c r="B28" s="356" t="s">
        <v>366</v>
      </c>
      <c r="C28" s="291"/>
      <c r="D28" s="294"/>
      <c r="E28" s="294"/>
    </row>
    <row r="29" spans="1:5" ht="12" customHeight="1">
      <c r="A29" s="287">
        <v>13</v>
      </c>
      <c r="B29" s="356" t="s">
        <v>357</v>
      </c>
      <c r="C29" s="287">
        <f>3*120</f>
        <v>360</v>
      </c>
      <c r="D29" s="290">
        <v>350</v>
      </c>
      <c r="E29" s="290">
        <f>'10_Honorarium_Contigency_others'!C29</f>
        <v>1.26</v>
      </c>
    </row>
    <row r="30" spans="2:5" ht="12" customHeight="1">
      <c r="B30" s="356" t="s">
        <v>146</v>
      </c>
      <c r="D30" s="290"/>
      <c r="E30" s="290"/>
    </row>
    <row r="31" spans="2:5" ht="12" customHeight="1">
      <c r="B31" s="356" t="s">
        <v>371</v>
      </c>
      <c r="D31" s="290"/>
      <c r="E31" s="290"/>
    </row>
    <row r="32" spans="1:5" ht="12" customHeight="1">
      <c r="A32" s="291">
        <v>14</v>
      </c>
      <c r="B32" s="291" t="s">
        <v>308</v>
      </c>
      <c r="C32" s="291">
        <v>62200</v>
      </c>
      <c r="D32" s="294"/>
      <c r="E32" s="294">
        <f>'5_Physical feature survey'!F13</f>
        <v>70.337673</v>
      </c>
    </row>
    <row r="33" spans="1:5" ht="12" customHeight="1">
      <c r="A33" s="291"/>
      <c r="B33" s="291" t="s">
        <v>279</v>
      </c>
      <c r="C33" s="291"/>
      <c r="D33" s="294"/>
      <c r="E33" s="294"/>
    </row>
    <row r="34" spans="1:5" ht="12" customHeight="1">
      <c r="A34" s="291"/>
      <c r="B34" s="291" t="s">
        <v>280</v>
      </c>
      <c r="C34" s="291"/>
      <c r="D34" s="294"/>
      <c r="E34" s="294"/>
    </row>
    <row r="35" spans="1:5" ht="12" customHeight="1">
      <c r="A35" s="296">
        <v>15</v>
      </c>
      <c r="B35" s="359" t="s">
        <v>358</v>
      </c>
      <c r="C35" s="296">
        <f>10*3</f>
        <v>30</v>
      </c>
      <c r="D35" s="295">
        <v>10000</v>
      </c>
      <c r="E35" s="295">
        <f>'10_Honorarium_Contigency_others'!C4</f>
        <v>3</v>
      </c>
    </row>
    <row r="36" spans="1:5" s="296" customFormat="1" ht="12" customHeight="1">
      <c r="A36" s="291">
        <v>16</v>
      </c>
      <c r="B36" s="361" t="s">
        <v>325</v>
      </c>
      <c r="C36" s="291">
        <f>50*3</f>
        <v>150</v>
      </c>
      <c r="D36" s="294">
        <v>800</v>
      </c>
      <c r="E36" s="294">
        <f>'10_Honorarium_Contigency_others'!C6</f>
        <v>0.75</v>
      </c>
    </row>
    <row r="37" spans="1:5" s="296" customFormat="1" ht="12" customHeight="1">
      <c r="A37" s="296">
        <v>17</v>
      </c>
      <c r="B37" s="361" t="s">
        <v>326</v>
      </c>
      <c r="C37" s="296">
        <f>25*7</f>
        <v>175</v>
      </c>
      <c r="D37" s="295">
        <v>800</v>
      </c>
      <c r="E37" s="295">
        <f>'10_Honorarium_Contigency_others'!C7</f>
        <v>1.4</v>
      </c>
    </row>
    <row r="38" spans="1:5" s="296" customFormat="1" ht="12" customHeight="1">
      <c r="A38" s="291">
        <v>18</v>
      </c>
      <c r="B38" s="361" t="s">
        <v>327</v>
      </c>
      <c r="C38" s="291">
        <f>25*2</f>
        <v>50</v>
      </c>
      <c r="D38" s="294">
        <v>800</v>
      </c>
      <c r="E38" s="294">
        <f>'10_Honorarium_Contigency_others'!C8</f>
        <v>0.4</v>
      </c>
    </row>
    <row r="39" spans="1:5" s="296" customFormat="1" ht="12" customHeight="1">
      <c r="A39" s="296">
        <v>19</v>
      </c>
      <c r="B39" s="361" t="s">
        <v>328</v>
      </c>
      <c r="C39" s="296">
        <f>25*3</f>
        <v>75</v>
      </c>
      <c r="D39" s="295">
        <v>800</v>
      </c>
      <c r="E39" s="295">
        <f>'10_Honorarium_Contigency_others'!C9</f>
        <v>0.6</v>
      </c>
    </row>
    <row r="40" spans="1:5" s="296" customFormat="1" ht="12" customHeight="1">
      <c r="A40" s="291">
        <v>20</v>
      </c>
      <c r="B40" s="361" t="s">
        <v>309</v>
      </c>
      <c r="C40" s="291">
        <v>1</v>
      </c>
      <c r="D40" s="294">
        <v>500000</v>
      </c>
      <c r="E40" s="294">
        <f>'10_Honorarium_Contigency_others'!C5</f>
        <v>5</v>
      </c>
    </row>
    <row r="41" spans="1:5" s="296" customFormat="1" ht="12" customHeight="1">
      <c r="A41" s="296">
        <v>21</v>
      </c>
      <c r="B41" s="298" t="s">
        <v>310</v>
      </c>
      <c r="C41" s="296">
        <v>1</v>
      </c>
      <c r="D41" s="295">
        <v>100000</v>
      </c>
      <c r="E41" s="295">
        <f>'10_Honorarium_Contigency_others'!C11</f>
        <v>1</v>
      </c>
    </row>
    <row r="42" spans="1:5" s="296" customFormat="1" ht="12" customHeight="1">
      <c r="A42" s="291">
        <v>22</v>
      </c>
      <c r="B42" s="299" t="s">
        <v>311</v>
      </c>
      <c r="C42" s="291">
        <v>1</v>
      </c>
      <c r="D42" s="294">
        <v>500000</v>
      </c>
      <c r="E42" s="294">
        <f>'10_Honorarium_Contigency_others'!C12</f>
        <v>5</v>
      </c>
    </row>
    <row r="43" spans="1:5" s="296" customFormat="1" ht="12" customHeight="1">
      <c r="A43" s="296">
        <v>23</v>
      </c>
      <c r="B43" s="297" t="s">
        <v>312</v>
      </c>
      <c r="C43" s="296">
        <v>500</v>
      </c>
      <c r="D43" s="295">
        <v>2000</v>
      </c>
      <c r="E43" s="295">
        <f>'10_Honorarium_Contigency_others'!C13</f>
        <v>10</v>
      </c>
    </row>
    <row r="44" spans="1:5" s="296" customFormat="1" ht="12" customHeight="1">
      <c r="A44" s="291">
        <v>24</v>
      </c>
      <c r="B44" s="357" t="s">
        <v>313</v>
      </c>
      <c r="C44" s="291">
        <v>30</v>
      </c>
      <c r="D44" s="293" t="s">
        <v>148</v>
      </c>
      <c r="E44" s="294">
        <f>'9_Site office_car_furniture'!E18</f>
        <v>2.2880000000000003</v>
      </c>
    </row>
    <row r="45" spans="1:5" s="296" customFormat="1" ht="12" customHeight="1">
      <c r="A45" s="291"/>
      <c r="B45" s="357" t="s">
        <v>275</v>
      </c>
      <c r="C45" s="291"/>
      <c r="D45" s="293"/>
      <c r="E45" s="294"/>
    </row>
    <row r="46" spans="1:5" s="296" customFormat="1" ht="12" customHeight="1">
      <c r="A46" s="296">
        <v>25</v>
      </c>
      <c r="B46" s="297" t="s">
        <v>378</v>
      </c>
      <c r="D46" s="363"/>
      <c r="E46" s="295">
        <f>'2_Trainning cost'!F18+'2_Trainning cost'!F32+'2_Trainning cost'!F46</f>
        <v>6.598</v>
      </c>
    </row>
    <row r="47" spans="1:5" s="296" customFormat="1" ht="12" customHeight="1">
      <c r="A47" s="291">
        <v>26</v>
      </c>
      <c r="B47" s="291" t="s">
        <v>314</v>
      </c>
      <c r="C47" s="291"/>
      <c r="D47" s="294"/>
      <c r="E47" s="294">
        <v>3.91</v>
      </c>
    </row>
    <row r="48" spans="1:5" s="296" customFormat="1" ht="12" customHeight="1">
      <c r="A48" s="296">
        <v>27</v>
      </c>
      <c r="B48" s="359" t="s">
        <v>359</v>
      </c>
      <c r="C48" s="296">
        <v>2</v>
      </c>
      <c r="D48" s="295">
        <v>250000</v>
      </c>
      <c r="E48" s="295">
        <f>D48*C48/100000</f>
        <v>5</v>
      </c>
    </row>
    <row r="49" spans="1:5" s="296" customFormat="1" ht="56.25">
      <c r="A49" s="302">
        <v>28</v>
      </c>
      <c r="B49" s="360" t="s">
        <v>316</v>
      </c>
      <c r="C49" s="296">
        <v>2</v>
      </c>
      <c r="D49" s="295">
        <v>250000</v>
      </c>
      <c r="E49" s="295">
        <v>5</v>
      </c>
    </row>
    <row r="50" spans="1:5" s="300" customFormat="1" ht="12" customHeight="1">
      <c r="A50" s="300">
        <v>29</v>
      </c>
      <c r="B50" s="300" t="s">
        <v>147</v>
      </c>
      <c r="E50" s="301">
        <f>SUM(E2:E49)</f>
        <v>322.343773</v>
      </c>
    </row>
    <row r="51" spans="1:5" ht="12" customHeight="1">
      <c r="A51" s="306">
        <v>30</v>
      </c>
      <c r="B51" s="306" t="s">
        <v>396</v>
      </c>
      <c r="C51" s="307"/>
      <c r="D51" s="307"/>
      <c r="E51" s="307"/>
    </row>
    <row r="52" spans="1:5" ht="12" customHeight="1">
      <c r="A52" s="306">
        <v>31</v>
      </c>
      <c r="B52" s="306" t="s">
        <v>286</v>
      </c>
      <c r="C52" s="307"/>
      <c r="D52" s="307"/>
      <c r="E52" s="307"/>
    </row>
    <row r="53" spans="1:5" ht="12" customHeight="1">
      <c r="A53" s="306">
        <v>32</v>
      </c>
      <c r="B53" s="376" t="s">
        <v>397</v>
      </c>
      <c r="C53" s="317"/>
      <c r="D53" s="317"/>
      <c r="E53" s="317"/>
    </row>
    <row r="54" spans="1:5" ht="12" customHeight="1">
      <c r="A54" s="307"/>
      <c r="B54" s="376" t="s">
        <v>398</v>
      </c>
      <c r="C54" s="307"/>
      <c r="D54" s="307"/>
      <c r="E54" s="307"/>
    </row>
    <row r="57" ht="11.25">
      <c r="E57" s="286"/>
    </row>
  </sheetData>
  <sheetProtection/>
  <printOptions horizontalCentered="1" verticalCentered="1"/>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54"/>
  <sheetViews>
    <sheetView tabSelected="1" zoomScalePageLayoutView="0" workbookViewId="0" topLeftCell="A34">
      <selection activeCell="J51" sqref="J51"/>
    </sheetView>
  </sheetViews>
  <sheetFormatPr defaultColWidth="58.8515625" defaultRowHeight="12.75"/>
  <cols>
    <col min="1" max="1" width="3.421875" style="287" customWidth="1"/>
    <col min="2" max="2" width="49.7109375" style="287" customWidth="1"/>
    <col min="3" max="3" width="7.00390625" style="287" bestFit="1" customWidth="1"/>
    <col min="4" max="4" width="7.421875" style="438" customWidth="1"/>
    <col min="5" max="5" width="6.8515625" style="438" customWidth="1"/>
    <col min="6" max="6" width="7.28125" style="287" customWidth="1"/>
    <col min="7" max="7" width="7.7109375" style="325" bestFit="1" customWidth="1"/>
    <col min="8" max="8" width="7.7109375" style="287" bestFit="1" customWidth="1"/>
    <col min="9" max="9" width="5.7109375" style="287" bestFit="1" customWidth="1"/>
    <col min="10" max="16384" width="58.8515625" style="287" customWidth="1"/>
  </cols>
  <sheetData>
    <row r="1" ht="15.75">
      <c r="B1" s="441" t="s">
        <v>414</v>
      </c>
    </row>
    <row r="2" spans="1:8" ht="33.75" customHeight="1" thickBot="1">
      <c r="A2" s="454" t="s">
        <v>138</v>
      </c>
      <c r="B2" s="454" t="s">
        <v>38</v>
      </c>
      <c r="C2" s="454" t="s">
        <v>139</v>
      </c>
      <c r="D2" s="455" t="s">
        <v>140</v>
      </c>
      <c r="E2" s="455" t="s">
        <v>141</v>
      </c>
      <c r="F2" s="454" t="s">
        <v>272</v>
      </c>
      <c r="G2" s="456" t="s">
        <v>281</v>
      </c>
      <c r="H2" s="285" t="s">
        <v>282</v>
      </c>
    </row>
    <row r="3" spans="1:8" ht="12" customHeight="1" thickBot="1">
      <c r="A3" s="460">
        <v>1</v>
      </c>
      <c r="B3" s="461" t="s">
        <v>413</v>
      </c>
      <c r="C3" s="462">
        <v>28</v>
      </c>
      <c r="D3" s="463" t="s">
        <v>148</v>
      </c>
      <c r="E3" s="463">
        <v>0</v>
      </c>
      <c r="F3" s="464">
        <f>'1_GIS-RS Lab'!E28+G3</f>
        <v>90.0116</v>
      </c>
      <c r="G3" s="553">
        <v>21.2</v>
      </c>
      <c r="H3" s="453">
        <f>F3-G3</f>
        <v>68.8116</v>
      </c>
    </row>
    <row r="4" spans="1:8" ht="12" customHeight="1">
      <c r="A4" s="467">
        <v>2</v>
      </c>
      <c r="B4" s="468" t="s">
        <v>324</v>
      </c>
      <c r="C4" s="469">
        <v>1</v>
      </c>
      <c r="D4" s="470" t="s">
        <v>142</v>
      </c>
      <c r="E4" s="470">
        <f>F4*100000</f>
        <v>0</v>
      </c>
      <c r="F4" s="471">
        <v>0</v>
      </c>
      <c r="G4" s="554"/>
      <c r="H4" s="294"/>
    </row>
    <row r="5" spans="1:8" ht="12" customHeight="1" thickBot="1">
      <c r="A5" s="472"/>
      <c r="B5" s="473" t="s">
        <v>274</v>
      </c>
      <c r="C5" s="474"/>
      <c r="D5" s="475"/>
      <c r="E5" s="475"/>
      <c r="F5" s="476"/>
      <c r="G5" s="555"/>
      <c r="H5" s="294"/>
    </row>
    <row r="6" spans="1:10" ht="12" customHeight="1">
      <c r="A6" s="479">
        <v>3</v>
      </c>
      <c r="B6" s="480" t="s">
        <v>360</v>
      </c>
      <c r="C6" s="481">
        <v>3</v>
      </c>
      <c r="D6" s="482" t="s">
        <v>142</v>
      </c>
      <c r="E6" s="482">
        <f>F6*100000</f>
        <v>0</v>
      </c>
      <c r="F6" s="483">
        <v>0</v>
      </c>
      <c r="G6" s="556"/>
      <c r="H6" s="290"/>
      <c r="J6" s="290"/>
    </row>
    <row r="7" spans="1:8" ht="12" customHeight="1" thickBot="1">
      <c r="A7" s="484"/>
      <c r="B7" s="485" t="s">
        <v>274</v>
      </c>
      <c r="C7" s="485"/>
      <c r="D7" s="486"/>
      <c r="E7" s="486"/>
      <c r="F7" s="487"/>
      <c r="G7" s="556"/>
      <c r="H7" s="290"/>
    </row>
    <row r="8" spans="1:8" ht="12" customHeight="1">
      <c r="A8" s="467">
        <v>4</v>
      </c>
      <c r="B8" s="468" t="s">
        <v>361</v>
      </c>
      <c r="C8" s="468">
        <v>70</v>
      </c>
      <c r="D8" s="470" t="s">
        <v>142</v>
      </c>
      <c r="E8" s="491">
        <f>F8*100000</f>
        <v>9093750</v>
      </c>
      <c r="F8" s="492">
        <f>'3_CDMP_consultant_staff B-I'!G36</f>
        <v>90.9375</v>
      </c>
      <c r="G8" s="555"/>
      <c r="H8" s="380">
        <f>F8*1</f>
        <v>90.9375</v>
      </c>
    </row>
    <row r="9" spans="1:8" ht="12" customHeight="1" thickBot="1">
      <c r="A9" s="472"/>
      <c r="B9" s="473" t="s">
        <v>323</v>
      </c>
      <c r="C9" s="473"/>
      <c r="D9" s="493"/>
      <c r="E9" s="493"/>
      <c r="F9" s="494"/>
      <c r="G9" s="557"/>
      <c r="H9" s="294"/>
    </row>
    <row r="10" spans="1:8" ht="12" customHeight="1" thickBot="1">
      <c r="A10" s="479">
        <v>5</v>
      </c>
      <c r="B10" s="480" t="s">
        <v>302</v>
      </c>
      <c r="C10" s="480">
        <v>1000</v>
      </c>
      <c r="D10" s="495">
        <v>500</v>
      </c>
      <c r="E10" s="496">
        <f>C10*D10</f>
        <v>500000</v>
      </c>
      <c r="F10" s="497">
        <f>'7_cost_Mouza AppI-(B-2)'!F6</f>
        <v>5</v>
      </c>
      <c r="G10" s="558">
        <f>F10*1</f>
        <v>5</v>
      </c>
      <c r="H10" s="477"/>
    </row>
    <row r="11" spans="1:8" ht="12" customHeight="1" thickBot="1">
      <c r="A11" s="484"/>
      <c r="B11" s="485" t="s">
        <v>269</v>
      </c>
      <c r="C11" s="485"/>
      <c r="D11" s="486"/>
      <c r="E11" s="498"/>
      <c r="F11" s="499"/>
      <c r="G11" s="559"/>
      <c r="H11" s="290"/>
    </row>
    <row r="12" spans="1:8" ht="12" customHeight="1" thickBot="1">
      <c r="A12" s="467">
        <v>6</v>
      </c>
      <c r="B12" s="468" t="s">
        <v>303</v>
      </c>
      <c r="C12" s="468">
        <f>1600*1000</f>
        <v>1600000</v>
      </c>
      <c r="D12" s="491">
        <v>1</v>
      </c>
      <c r="E12" s="491">
        <f>C12*D12</f>
        <v>1600000</v>
      </c>
      <c r="F12" s="492">
        <f>'7_cost_Mouza AppI-(B-2)'!F13</f>
        <v>16</v>
      </c>
      <c r="G12" s="560">
        <f>F12*1</f>
        <v>16</v>
      </c>
      <c r="H12" s="465"/>
    </row>
    <row r="13" spans="1:8" ht="12" customHeight="1" thickBot="1">
      <c r="A13" s="472"/>
      <c r="B13" s="473" t="s">
        <v>304</v>
      </c>
      <c r="C13" s="473"/>
      <c r="D13" s="493"/>
      <c r="E13" s="493"/>
      <c r="F13" s="494"/>
      <c r="G13" s="561"/>
      <c r="H13" s="294"/>
    </row>
    <row r="14" spans="1:8" ht="12" customHeight="1" thickBot="1">
      <c r="A14" s="479">
        <v>7</v>
      </c>
      <c r="B14" s="501" t="s">
        <v>305</v>
      </c>
      <c r="C14" s="480">
        <v>6</v>
      </c>
      <c r="D14" s="495">
        <v>25000</v>
      </c>
      <c r="E14" s="496">
        <f>C14*D14</f>
        <v>150000</v>
      </c>
      <c r="F14" s="497">
        <f>'9_Site office_car_furniture'!F5</f>
        <v>1.5</v>
      </c>
      <c r="G14" s="558">
        <f>F14*1</f>
        <v>1.5</v>
      </c>
      <c r="H14" s="477"/>
    </row>
    <row r="15" spans="1:8" ht="12" customHeight="1">
      <c r="A15" s="502"/>
      <c r="B15" s="356" t="s">
        <v>143</v>
      </c>
      <c r="E15" s="440"/>
      <c r="F15" s="503"/>
      <c r="G15" s="562"/>
      <c r="H15" s="290"/>
    </row>
    <row r="16" spans="1:8" ht="12" customHeight="1" thickBot="1">
      <c r="A16" s="484"/>
      <c r="B16" s="504" t="s">
        <v>144</v>
      </c>
      <c r="C16" s="485"/>
      <c r="D16" s="486"/>
      <c r="E16" s="498"/>
      <c r="F16" s="499"/>
      <c r="G16" s="563"/>
      <c r="H16" s="290"/>
    </row>
    <row r="17" spans="1:8" ht="12" customHeight="1" thickBot="1">
      <c r="A17" s="467">
        <v>8</v>
      </c>
      <c r="B17" s="501" t="s">
        <v>306</v>
      </c>
      <c r="C17" s="468">
        <v>6</v>
      </c>
      <c r="D17" s="491">
        <v>60000</v>
      </c>
      <c r="E17" s="491">
        <f>C17*D17</f>
        <v>360000</v>
      </c>
      <c r="F17" s="492">
        <f>'9_Site office_car_furniture'!F26</f>
        <v>3.6000000000000005</v>
      </c>
      <c r="G17" s="560">
        <f>F17*1</f>
        <v>3.6000000000000005</v>
      </c>
      <c r="H17" s="465"/>
    </row>
    <row r="18" spans="1:8" ht="12" customHeight="1" thickBot="1">
      <c r="A18" s="472"/>
      <c r="B18" s="504" t="s">
        <v>375</v>
      </c>
      <c r="C18" s="473"/>
      <c r="D18" s="493"/>
      <c r="E18" s="493"/>
      <c r="F18" s="494"/>
      <c r="G18" s="561"/>
      <c r="H18" s="294"/>
    </row>
    <row r="19" spans="1:8" ht="12" customHeight="1" thickBot="1">
      <c r="A19" s="466">
        <v>9</v>
      </c>
      <c r="B19" s="466" t="s">
        <v>307</v>
      </c>
      <c r="C19" s="466">
        <v>5533</v>
      </c>
      <c r="D19" s="488">
        <v>200</v>
      </c>
      <c r="E19" s="489">
        <f>C19*D19</f>
        <v>1106600</v>
      </c>
      <c r="F19" s="551">
        <f>'8_Other survey_UDD'!F11</f>
        <v>11.066</v>
      </c>
      <c r="G19" s="558">
        <f>F19*1</f>
        <v>11.066</v>
      </c>
      <c r="H19" s="477"/>
    </row>
    <row r="20" spans="1:8" ht="12" customHeight="1" thickBot="1">
      <c r="A20" s="505"/>
      <c r="B20" s="505" t="s">
        <v>400</v>
      </c>
      <c r="C20" s="505"/>
      <c r="D20" s="506"/>
      <c r="E20" s="507"/>
      <c r="F20" s="508"/>
      <c r="G20" s="564"/>
      <c r="H20" s="290"/>
    </row>
    <row r="21" spans="1:8" ht="12" customHeight="1" thickBot="1">
      <c r="A21" s="467">
        <v>10</v>
      </c>
      <c r="B21" s="510" t="s">
        <v>364</v>
      </c>
      <c r="C21" s="468">
        <f>90*6</f>
        <v>540</v>
      </c>
      <c r="D21" s="491">
        <v>300</v>
      </c>
      <c r="E21" s="491">
        <f>C21*D21</f>
        <v>162000</v>
      </c>
      <c r="F21" s="492">
        <f>'10_Honorarium_Contigency_others'!C23</f>
        <v>1.62</v>
      </c>
      <c r="G21" s="560">
        <f>F21*1</f>
        <v>1.62</v>
      </c>
      <c r="H21" s="465"/>
    </row>
    <row r="22" spans="1:8" ht="12" customHeight="1">
      <c r="A22" s="511"/>
      <c r="B22" s="358" t="s">
        <v>367</v>
      </c>
      <c r="C22" s="291"/>
      <c r="D22" s="439"/>
      <c r="E22" s="439"/>
      <c r="F22" s="512"/>
      <c r="G22" s="554"/>
      <c r="H22" s="294"/>
    </row>
    <row r="23" spans="1:8" ht="12" customHeight="1" thickBot="1">
      <c r="A23" s="472"/>
      <c r="B23" s="513" t="s">
        <v>401</v>
      </c>
      <c r="C23" s="473"/>
      <c r="D23" s="493"/>
      <c r="E23" s="493"/>
      <c r="F23" s="494"/>
      <c r="G23" s="557"/>
      <c r="H23" s="294"/>
    </row>
    <row r="24" spans="1:8" ht="12" customHeight="1" thickBot="1">
      <c r="A24" s="466">
        <v>11</v>
      </c>
      <c r="B24" s="509" t="s">
        <v>365</v>
      </c>
      <c r="C24" s="466">
        <f>55*3</f>
        <v>165</v>
      </c>
      <c r="D24" s="488">
        <v>500</v>
      </c>
      <c r="E24" s="489">
        <f>C24*D24</f>
        <v>82500</v>
      </c>
      <c r="F24" s="551">
        <f>'10_Honorarium_Contigency_others'!C24</f>
        <v>0.825</v>
      </c>
      <c r="G24" s="558">
        <f>F24*1</f>
        <v>0.825</v>
      </c>
      <c r="H24" s="477"/>
    </row>
    <row r="25" spans="2:8" ht="12" customHeight="1">
      <c r="B25" s="358" t="s">
        <v>368</v>
      </c>
      <c r="E25" s="440"/>
      <c r="F25" s="290"/>
      <c r="G25" s="565"/>
      <c r="H25" s="290"/>
    </row>
    <row r="26" spans="1:8" ht="12" customHeight="1" thickBot="1">
      <c r="A26" s="505"/>
      <c r="B26" s="514" t="s">
        <v>402</v>
      </c>
      <c r="C26" s="505"/>
      <c r="D26" s="506"/>
      <c r="E26" s="507"/>
      <c r="F26" s="508"/>
      <c r="G26" s="566"/>
      <c r="H26" s="290"/>
    </row>
    <row r="27" spans="1:8" ht="12" customHeight="1" thickBot="1">
      <c r="A27" s="467">
        <v>12</v>
      </c>
      <c r="B27" s="501" t="s">
        <v>354</v>
      </c>
      <c r="C27" s="468">
        <f>10*120</f>
        <v>1200</v>
      </c>
      <c r="D27" s="491">
        <v>120</v>
      </c>
      <c r="E27" s="491">
        <f>C27*D27</f>
        <v>144000</v>
      </c>
      <c r="F27" s="492">
        <f>'10_Honorarium_Contigency_others'!C28</f>
        <v>1.44</v>
      </c>
      <c r="G27" s="560">
        <f>F27*1</f>
        <v>1.44</v>
      </c>
      <c r="H27" s="465"/>
    </row>
    <row r="28" spans="1:8" ht="12" customHeight="1">
      <c r="A28" s="511"/>
      <c r="B28" s="356" t="s">
        <v>356</v>
      </c>
      <c r="C28" s="291"/>
      <c r="D28" s="439"/>
      <c r="E28" s="439"/>
      <c r="F28" s="512"/>
      <c r="G28" s="554"/>
      <c r="H28" s="294"/>
    </row>
    <row r="29" spans="1:8" ht="12" customHeight="1" thickBot="1">
      <c r="A29" s="472"/>
      <c r="B29" s="504" t="s">
        <v>403</v>
      </c>
      <c r="C29" s="473"/>
      <c r="D29" s="493"/>
      <c r="E29" s="493"/>
      <c r="F29" s="494"/>
      <c r="G29" s="557"/>
      <c r="H29" s="294"/>
    </row>
    <row r="30" spans="1:8" ht="12" customHeight="1" thickBot="1">
      <c r="A30" s="466">
        <v>13</v>
      </c>
      <c r="B30" s="500" t="s">
        <v>357</v>
      </c>
      <c r="C30" s="466">
        <f>3*120</f>
        <v>360</v>
      </c>
      <c r="D30" s="488">
        <v>350</v>
      </c>
      <c r="E30" s="550">
        <f>C30*D30</f>
        <v>126000</v>
      </c>
      <c r="F30" s="547">
        <f>'10_Honorarium_Contigency_others'!C29</f>
        <v>1.26</v>
      </c>
      <c r="G30" s="558">
        <f>F30*1</f>
        <v>1.26</v>
      </c>
      <c r="H30" s="477"/>
    </row>
    <row r="31" spans="2:8" ht="12" customHeight="1">
      <c r="B31" s="356" t="s">
        <v>146</v>
      </c>
      <c r="E31" s="440"/>
      <c r="F31" s="490"/>
      <c r="G31" s="565"/>
      <c r="H31" s="290"/>
    </row>
    <row r="32" spans="2:8" ht="12" customHeight="1" thickBot="1">
      <c r="B32" s="356" t="s">
        <v>404</v>
      </c>
      <c r="E32" s="440"/>
      <c r="F32" s="508"/>
      <c r="G32" s="567"/>
      <c r="H32" s="290"/>
    </row>
    <row r="33" spans="1:8" ht="12" customHeight="1" thickBot="1">
      <c r="A33" s="291">
        <v>14</v>
      </c>
      <c r="B33" s="291" t="s">
        <v>308</v>
      </c>
      <c r="C33" s="291">
        <v>62200</v>
      </c>
      <c r="D33" s="439"/>
      <c r="E33" s="548">
        <f>F33*100000</f>
        <v>7033767.3</v>
      </c>
      <c r="F33" s="549">
        <f>'5_Physical feature survey'!F13</f>
        <v>70.337673</v>
      </c>
      <c r="G33" s="555"/>
      <c r="H33" s="380">
        <f>F33*1</f>
        <v>70.337673</v>
      </c>
    </row>
    <row r="34" spans="1:8" ht="12" customHeight="1">
      <c r="A34" s="291"/>
      <c r="B34" s="291" t="s">
        <v>279</v>
      </c>
      <c r="C34" s="291"/>
      <c r="D34" s="439"/>
      <c r="E34" s="439"/>
      <c r="F34" s="459"/>
      <c r="G34" s="568"/>
      <c r="H34" s="294"/>
    </row>
    <row r="35" spans="1:8" ht="12" customHeight="1" thickBot="1">
      <c r="A35" s="515"/>
      <c r="B35" s="515" t="s">
        <v>280</v>
      </c>
      <c r="C35" s="515"/>
      <c r="D35" s="516"/>
      <c r="E35" s="516"/>
      <c r="F35" s="517"/>
      <c r="G35" s="568"/>
      <c r="H35" s="294"/>
    </row>
    <row r="36" spans="1:8" ht="12" customHeight="1" thickBot="1">
      <c r="A36" s="518">
        <v>15</v>
      </c>
      <c r="B36" s="519" t="s">
        <v>358</v>
      </c>
      <c r="C36" s="520">
        <f>10*3</f>
        <v>30</v>
      </c>
      <c r="D36" s="521">
        <v>10000</v>
      </c>
      <c r="E36" s="521">
        <f aca="true" t="shared" si="0" ref="E36:E44">C36*D36</f>
        <v>300000</v>
      </c>
      <c r="F36" s="522">
        <f>'10_Honorarium_Contigency_others'!C4</f>
        <v>3</v>
      </c>
      <c r="G36" s="563"/>
      <c r="H36" s="303">
        <f>'10_Honorarium_Contigency_others'!C4</f>
        <v>3</v>
      </c>
    </row>
    <row r="37" spans="1:8" s="296" customFormat="1" ht="12" customHeight="1" thickBot="1">
      <c r="A37" s="523">
        <v>16</v>
      </c>
      <c r="B37" s="524" t="s">
        <v>405</v>
      </c>
      <c r="C37" s="523">
        <f>50*3</f>
        <v>150</v>
      </c>
      <c r="D37" s="525">
        <v>500</v>
      </c>
      <c r="E37" s="525">
        <f t="shared" si="0"/>
        <v>75000</v>
      </c>
      <c r="F37" s="575">
        <f>'10_Honorarium_Contigency_others'!C6</f>
        <v>0.75</v>
      </c>
      <c r="G37" s="560">
        <f aca="true" t="shared" si="1" ref="G37:G45">F37*1</f>
        <v>0.75</v>
      </c>
      <c r="H37" s="465"/>
    </row>
    <row r="38" spans="1:8" s="296" customFormat="1" ht="12" customHeight="1" thickBot="1">
      <c r="A38" s="518">
        <v>17</v>
      </c>
      <c r="B38" s="527" t="s">
        <v>326</v>
      </c>
      <c r="C38" s="520">
        <f>25*7</f>
        <v>175</v>
      </c>
      <c r="D38" s="521">
        <v>800</v>
      </c>
      <c r="E38" s="521">
        <f t="shared" si="0"/>
        <v>140000</v>
      </c>
      <c r="F38" s="522">
        <f>'10_Honorarium_Contigency_others'!C7</f>
        <v>1.4</v>
      </c>
      <c r="G38" s="558">
        <f t="shared" si="1"/>
        <v>1.4</v>
      </c>
      <c r="H38" s="477"/>
    </row>
    <row r="39" spans="1:8" s="296" customFormat="1" ht="12" customHeight="1" thickBot="1">
      <c r="A39" s="523">
        <v>18</v>
      </c>
      <c r="B39" s="524" t="s">
        <v>327</v>
      </c>
      <c r="C39" s="523">
        <f>25*2</f>
        <v>50</v>
      </c>
      <c r="D39" s="525">
        <v>800</v>
      </c>
      <c r="E39" s="525">
        <f t="shared" si="0"/>
        <v>40000</v>
      </c>
      <c r="F39" s="526">
        <f>'10_Honorarium_Contigency_others'!C8</f>
        <v>0.4</v>
      </c>
      <c r="G39" s="570">
        <f t="shared" si="1"/>
        <v>0.4</v>
      </c>
      <c r="H39" s="294"/>
    </row>
    <row r="40" spans="1:8" s="296" customFormat="1" ht="12" customHeight="1" thickBot="1">
      <c r="A40" s="518">
        <v>19</v>
      </c>
      <c r="B40" s="527" t="s">
        <v>328</v>
      </c>
      <c r="C40" s="520">
        <f>25*3</f>
        <v>75</v>
      </c>
      <c r="D40" s="521">
        <v>800</v>
      </c>
      <c r="E40" s="521">
        <f t="shared" si="0"/>
        <v>60000</v>
      </c>
      <c r="F40" s="522">
        <f>'10_Honorarium_Contigency_others'!C9</f>
        <v>0.6</v>
      </c>
      <c r="G40" s="558">
        <f t="shared" si="1"/>
        <v>0.6</v>
      </c>
      <c r="H40" s="477"/>
    </row>
    <row r="41" spans="1:8" s="296" customFormat="1" ht="12" customHeight="1" thickBot="1">
      <c r="A41" s="523">
        <v>20</v>
      </c>
      <c r="B41" s="524" t="s">
        <v>309</v>
      </c>
      <c r="C41" s="523">
        <v>1</v>
      </c>
      <c r="D41" s="525">
        <v>500000</v>
      </c>
      <c r="E41" s="525">
        <f t="shared" si="0"/>
        <v>500000</v>
      </c>
      <c r="F41" s="526">
        <f>'10_Honorarium_Contigency_others'!C5</f>
        <v>5</v>
      </c>
      <c r="G41" s="570"/>
      <c r="H41" s="380">
        <f>'10_Honorarium_Contigency_others'!C5</f>
        <v>5</v>
      </c>
    </row>
    <row r="42" spans="1:8" s="296" customFormat="1" ht="12" customHeight="1" thickBot="1">
      <c r="A42" s="518">
        <v>21</v>
      </c>
      <c r="B42" s="528" t="s">
        <v>310</v>
      </c>
      <c r="C42" s="520">
        <v>1</v>
      </c>
      <c r="D42" s="521">
        <v>100000</v>
      </c>
      <c r="E42" s="521">
        <f t="shared" si="0"/>
        <v>100000</v>
      </c>
      <c r="F42" s="522">
        <f>'10_Honorarium_Contigency_others'!C11</f>
        <v>1</v>
      </c>
      <c r="G42" s="558">
        <f t="shared" si="1"/>
        <v>1</v>
      </c>
      <c r="H42" s="477"/>
    </row>
    <row r="43" spans="1:8" s="296" customFormat="1" ht="12" customHeight="1" thickBot="1">
      <c r="A43" s="523">
        <v>22</v>
      </c>
      <c r="B43" s="529" t="s">
        <v>311</v>
      </c>
      <c r="C43" s="523">
        <v>1</v>
      </c>
      <c r="D43" s="525">
        <v>500000</v>
      </c>
      <c r="E43" s="525">
        <f t="shared" si="0"/>
        <v>500000</v>
      </c>
      <c r="F43" s="526">
        <f>'10_Honorarium_Contigency_others'!C12</f>
        <v>5</v>
      </c>
      <c r="G43" s="570">
        <f t="shared" si="1"/>
        <v>5</v>
      </c>
      <c r="H43" s="294"/>
    </row>
    <row r="44" spans="1:8" s="296" customFormat="1" ht="12" customHeight="1" thickBot="1">
      <c r="A44" s="518">
        <v>23</v>
      </c>
      <c r="B44" s="531" t="s">
        <v>406</v>
      </c>
      <c r="C44" s="520">
        <v>500</v>
      </c>
      <c r="D44" s="521">
        <v>2000</v>
      </c>
      <c r="E44" s="521">
        <f t="shared" si="0"/>
        <v>1000000</v>
      </c>
      <c r="F44" s="522">
        <f>'10_Honorarium_Contigency_others'!C13</f>
        <v>10</v>
      </c>
      <c r="G44" s="558">
        <f t="shared" si="1"/>
        <v>10</v>
      </c>
      <c r="H44" s="477"/>
    </row>
    <row r="45" spans="1:8" s="296" customFormat="1" ht="12" customHeight="1">
      <c r="A45" s="457">
        <v>24</v>
      </c>
      <c r="B45" s="530" t="s">
        <v>313</v>
      </c>
      <c r="C45" s="457">
        <v>30</v>
      </c>
      <c r="D45" s="458" t="s">
        <v>148</v>
      </c>
      <c r="E45" s="478">
        <f>F45*100000</f>
        <v>228800.00000000003</v>
      </c>
      <c r="F45" s="459">
        <f>'9_Site office_car_furniture'!E18</f>
        <v>2.2880000000000003</v>
      </c>
      <c r="G45" s="571">
        <f t="shared" si="1"/>
        <v>2.2880000000000003</v>
      </c>
      <c r="H45" s="294"/>
    </row>
    <row r="46" spans="1:8" s="296" customFormat="1" ht="12" customHeight="1" thickBot="1">
      <c r="A46" s="515"/>
      <c r="B46" s="533" t="s">
        <v>275</v>
      </c>
      <c r="C46" s="515"/>
      <c r="D46" s="534"/>
      <c r="E46" s="516"/>
      <c r="F46" s="517"/>
      <c r="G46" s="569"/>
      <c r="H46" s="294"/>
    </row>
    <row r="47" spans="1:8" s="296" customFormat="1" ht="12" customHeight="1" thickBot="1">
      <c r="A47" s="518">
        <v>25</v>
      </c>
      <c r="B47" s="531" t="s">
        <v>378</v>
      </c>
      <c r="C47" s="520"/>
      <c r="D47" s="535"/>
      <c r="E47" s="521"/>
      <c r="F47" s="522">
        <f>'2_Trainning cost'!F18+'2_Trainning cost'!F32+'2_Trainning cost'!F46</f>
        <v>6.598</v>
      </c>
      <c r="G47" s="572">
        <f>F47*1</f>
        <v>6.598</v>
      </c>
      <c r="H47" s="532"/>
    </row>
    <row r="48" spans="1:8" s="296" customFormat="1" ht="12" customHeight="1" thickBot="1">
      <c r="A48" s="523">
        <v>26</v>
      </c>
      <c r="B48" s="523" t="s">
        <v>314</v>
      </c>
      <c r="C48" s="523"/>
      <c r="D48" s="525"/>
      <c r="E48" s="525"/>
      <c r="F48" s="526">
        <v>3.91</v>
      </c>
      <c r="G48" s="573"/>
      <c r="H48" s="380">
        <v>3.91</v>
      </c>
    </row>
    <row r="49" spans="1:8" s="296" customFormat="1" ht="12" customHeight="1" thickBot="1">
      <c r="A49" s="518">
        <v>27</v>
      </c>
      <c r="B49" s="519" t="s">
        <v>359</v>
      </c>
      <c r="C49" s="520">
        <v>2</v>
      </c>
      <c r="D49" s="521">
        <v>250000</v>
      </c>
      <c r="E49" s="521">
        <f>C49*D49</f>
        <v>500000</v>
      </c>
      <c r="F49" s="522">
        <v>3</v>
      </c>
      <c r="G49" s="572">
        <v>3</v>
      </c>
      <c r="H49" s="536"/>
    </row>
    <row r="50" spans="1:8" s="296" customFormat="1" ht="68.25" thickBot="1">
      <c r="A50" s="538">
        <v>28</v>
      </c>
      <c r="B50" s="539" t="s">
        <v>316</v>
      </c>
      <c r="C50" s="540">
        <v>2</v>
      </c>
      <c r="D50" s="541">
        <v>250000</v>
      </c>
      <c r="E50" s="541">
        <f>C50*D50</f>
        <v>500000</v>
      </c>
      <c r="F50" s="542">
        <v>5</v>
      </c>
      <c r="G50" s="564">
        <f>F50*1</f>
        <v>5</v>
      </c>
      <c r="H50" s="290"/>
    </row>
    <row r="51" spans="1:10" s="300" customFormat="1" ht="12" customHeight="1" thickBot="1">
      <c r="A51" s="543">
        <v>29</v>
      </c>
      <c r="B51" s="544" t="s">
        <v>147</v>
      </c>
      <c r="C51" s="544"/>
      <c r="D51" s="545"/>
      <c r="E51" s="545"/>
      <c r="F51" s="546">
        <f>SUM(F3:F50)</f>
        <v>341.543773</v>
      </c>
      <c r="G51" s="552">
        <f>SUM(G3:G50)</f>
        <v>99.547</v>
      </c>
      <c r="H51" s="537">
        <f>SUM(H3:H50)</f>
        <v>241.996773</v>
      </c>
      <c r="I51" s="301"/>
      <c r="J51" s="436">
        <f>F51-G51</f>
        <v>241.996773</v>
      </c>
    </row>
    <row r="52" spans="1:7" ht="12" customHeight="1">
      <c r="A52" s="466"/>
      <c r="B52" s="466"/>
      <c r="C52" s="466"/>
      <c r="D52" s="488"/>
      <c r="E52" s="488"/>
      <c r="F52" s="466"/>
      <c r="G52" s="574"/>
    </row>
    <row r="53" spans="6:8" ht="12.75">
      <c r="F53" s="286"/>
      <c r="H53" s="435"/>
    </row>
    <row r="54" ht="12.75">
      <c r="J54" s="442">
        <f>G51</f>
        <v>99.547</v>
      </c>
    </row>
  </sheetData>
  <sheetProtection/>
  <printOptions/>
  <pageMargins left="0.7" right="0.7" top="0.75" bottom="0.75" header="0.3" footer="0.3"/>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2:M37"/>
  <sheetViews>
    <sheetView zoomScalePageLayoutView="0" workbookViewId="0" topLeftCell="A7">
      <selection activeCell="N20" sqref="N20"/>
    </sheetView>
  </sheetViews>
  <sheetFormatPr defaultColWidth="9.140625" defaultRowHeight="12.75"/>
  <cols>
    <col min="1" max="1" width="13.421875" style="99" customWidth="1"/>
    <col min="2" max="2" width="10.00390625" style="99" customWidth="1"/>
    <col min="3" max="3" width="23.8515625" style="99" customWidth="1"/>
    <col min="4" max="5" width="9.140625" style="99" customWidth="1"/>
    <col min="6" max="6" width="11.00390625" style="99" customWidth="1"/>
    <col min="7" max="7" width="9.7109375" style="99" customWidth="1"/>
    <col min="8" max="8" width="45.8515625" style="99" bestFit="1" customWidth="1"/>
    <col min="9" max="9" width="3.28125" style="99" bestFit="1" customWidth="1"/>
    <col min="10" max="10" width="4.140625" style="125" bestFit="1" customWidth="1"/>
    <col min="11" max="11" width="3.28125" style="99" bestFit="1" customWidth="1"/>
    <col min="12" max="12" width="5.00390625" style="99" bestFit="1" customWidth="1"/>
    <col min="13" max="16384" width="9.140625" style="99" customWidth="1"/>
  </cols>
  <sheetData>
    <row r="2" spans="1:9" ht="43.5" customHeight="1">
      <c r="A2" s="593" t="s">
        <v>287</v>
      </c>
      <c r="B2" s="593"/>
      <c r="C2" s="593"/>
      <c r="D2" s="593"/>
      <c r="E2" s="593"/>
      <c r="F2" s="593"/>
      <c r="G2" s="593"/>
      <c r="H2" s="55"/>
      <c r="I2" s="55"/>
    </row>
    <row r="3" spans="1:13" ht="15" thickBot="1">
      <c r="A3" s="55"/>
      <c r="B3" s="55"/>
      <c r="C3" s="55"/>
      <c r="D3" s="55"/>
      <c r="E3" s="55"/>
      <c r="F3" s="55"/>
      <c r="G3" s="55"/>
      <c r="H3" s="55"/>
      <c r="I3" s="55"/>
      <c r="L3" s="216"/>
      <c r="M3" s="216"/>
    </row>
    <row r="4" spans="1:13" ht="12.75">
      <c r="A4" s="599" t="s">
        <v>76</v>
      </c>
      <c r="B4" s="594" t="s">
        <v>1</v>
      </c>
      <c r="C4" s="594" t="s">
        <v>26</v>
      </c>
      <c r="D4" s="594" t="s">
        <v>4</v>
      </c>
      <c r="E4" s="594" t="s">
        <v>27</v>
      </c>
      <c r="F4" s="45" t="s">
        <v>28</v>
      </c>
      <c r="G4" s="45" t="s">
        <v>30</v>
      </c>
      <c r="H4" s="48" t="s">
        <v>103</v>
      </c>
      <c r="L4" s="216"/>
      <c r="M4" s="216"/>
    </row>
    <row r="5" spans="1:8" ht="13.5" thickBot="1">
      <c r="A5" s="600"/>
      <c r="B5" s="595"/>
      <c r="C5" s="595"/>
      <c r="D5" s="595"/>
      <c r="E5" s="595"/>
      <c r="F5" s="46" t="s">
        <v>29</v>
      </c>
      <c r="G5" s="46" t="s">
        <v>108</v>
      </c>
      <c r="H5" s="43" t="s">
        <v>109</v>
      </c>
    </row>
    <row r="6" spans="1:8" ht="16.5" thickBot="1">
      <c r="A6" s="275"/>
      <c r="B6" s="596" t="s">
        <v>120</v>
      </c>
      <c r="C6" s="597"/>
      <c r="D6" s="597"/>
      <c r="E6" s="597"/>
      <c r="F6" s="598"/>
      <c r="G6" s="114"/>
      <c r="H6" s="218"/>
    </row>
    <row r="7" spans="1:8" ht="13.5" thickBot="1">
      <c r="A7" s="43" t="s">
        <v>113</v>
      </c>
      <c r="B7" s="219">
        <v>1</v>
      </c>
      <c r="C7" s="217" t="s">
        <v>75</v>
      </c>
      <c r="D7" s="220">
        <v>1</v>
      </c>
      <c r="E7" s="220">
        <v>9</v>
      </c>
      <c r="F7" s="44">
        <v>0</v>
      </c>
      <c r="G7" s="195">
        <f>(D7*E7*F7)/100000</f>
        <v>0</v>
      </c>
      <c r="H7" s="446" t="s">
        <v>425</v>
      </c>
    </row>
    <row r="8" spans="1:8" ht="13.5" customHeight="1" thickBot="1">
      <c r="A8" s="96" t="s">
        <v>334</v>
      </c>
      <c r="B8" s="42">
        <v>2</v>
      </c>
      <c r="C8" s="238" t="s">
        <v>32</v>
      </c>
      <c r="D8" s="220">
        <v>1</v>
      </c>
      <c r="E8" s="33">
        <v>9</v>
      </c>
      <c r="F8" s="246">
        <v>75000</v>
      </c>
      <c r="G8" s="248">
        <f>(D8*E8*F8)/100000</f>
        <v>6.75</v>
      </c>
      <c r="H8" s="115" t="s">
        <v>197</v>
      </c>
    </row>
    <row r="9" spans="1:8" ht="13.5" customHeight="1" thickBot="1">
      <c r="A9" s="96"/>
      <c r="B9" s="33">
        <v>3</v>
      </c>
      <c r="C9" s="238" t="s">
        <v>84</v>
      </c>
      <c r="D9" s="220">
        <v>1</v>
      </c>
      <c r="E9" s="33">
        <v>9</v>
      </c>
      <c r="F9" s="246">
        <v>75000</v>
      </c>
      <c r="G9" s="248">
        <f>(D9*E9*F9)/100000</f>
        <v>6.75</v>
      </c>
      <c r="H9" s="115" t="s">
        <v>197</v>
      </c>
    </row>
    <row r="10" spans="1:8" ht="13.5" customHeight="1" thickBot="1">
      <c r="A10" s="96"/>
      <c r="B10" s="194">
        <v>4</v>
      </c>
      <c r="C10" s="238" t="s">
        <v>191</v>
      </c>
      <c r="D10" s="220">
        <v>1</v>
      </c>
      <c r="E10" s="33">
        <v>9</v>
      </c>
      <c r="F10" s="246">
        <v>60000</v>
      </c>
      <c r="G10" s="248">
        <f>(D10*E10*F10)/100000</f>
        <v>5.4</v>
      </c>
      <c r="H10" s="115" t="s">
        <v>197</v>
      </c>
    </row>
    <row r="11" spans="1:12" ht="13.5" thickBot="1">
      <c r="A11" s="96"/>
      <c r="B11" s="219">
        <v>5</v>
      </c>
      <c r="C11" s="245" t="s">
        <v>234</v>
      </c>
      <c r="D11" s="221">
        <v>3</v>
      </c>
      <c r="E11" s="222">
        <f>D11*9</f>
        <v>27</v>
      </c>
      <c r="F11" s="247">
        <v>35000</v>
      </c>
      <c r="G11" s="249">
        <f>(D11*E11*F11)/100000</f>
        <v>28.35</v>
      </c>
      <c r="H11" s="226" t="s">
        <v>197</v>
      </c>
      <c r="I11" s="34">
        <f>E8+E9+E10+E11</f>
        <v>54</v>
      </c>
      <c r="J11" s="322" t="s">
        <v>332</v>
      </c>
      <c r="K11" s="34">
        <f>D8+D9+D10+D11</f>
        <v>6</v>
      </c>
      <c r="L11" s="34" t="s">
        <v>333</v>
      </c>
    </row>
    <row r="12" spans="1:10" ht="15.75" customHeight="1" thickBot="1">
      <c r="A12" s="229" t="s">
        <v>7</v>
      </c>
      <c r="B12" s="585" t="s">
        <v>149</v>
      </c>
      <c r="C12" s="586"/>
      <c r="D12" s="586"/>
      <c r="E12" s="586"/>
      <c r="F12" s="587"/>
      <c r="G12" s="230">
        <f>SUM(G7:G11)</f>
        <v>47.25</v>
      </c>
      <c r="H12" s="140" t="s">
        <v>197</v>
      </c>
      <c r="J12" s="116"/>
    </row>
    <row r="13" spans="1:10" ht="13.5" customHeight="1" thickBot="1">
      <c r="A13" s="227" t="s">
        <v>19</v>
      </c>
      <c r="B13" s="227"/>
      <c r="C13" s="588" t="s">
        <v>192</v>
      </c>
      <c r="D13" s="589"/>
      <c r="E13" s="227"/>
      <c r="F13" s="227"/>
      <c r="G13" s="228">
        <f>G12*0.25</f>
        <v>11.8125</v>
      </c>
      <c r="H13" s="198" t="s">
        <v>197</v>
      </c>
      <c r="J13" s="117"/>
    </row>
    <row r="14" spans="1:10" s="234" customFormat="1" ht="15">
      <c r="A14" s="231" t="s">
        <v>78</v>
      </c>
      <c r="B14" s="232"/>
      <c r="C14" s="590" t="s">
        <v>193</v>
      </c>
      <c r="D14" s="591"/>
      <c r="E14" s="591"/>
      <c r="F14" s="592"/>
      <c r="G14" s="145">
        <f>SUM(G12:G13)</f>
        <v>59.0625</v>
      </c>
      <c r="H14" s="233" t="s">
        <v>197</v>
      </c>
      <c r="J14" s="235"/>
    </row>
    <row r="15" spans="1:10" ht="15.75">
      <c r="A15" s="224"/>
      <c r="B15" s="576" t="s">
        <v>119</v>
      </c>
      <c r="C15" s="576"/>
      <c r="D15" s="576"/>
      <c r="E15" s="576"/>
      <c r="F15" s="576"/>
      <c r="G15" s="240"/>
      <c r="H15" s="224"/>
      <c r="J15" s="117"/>
    </row>
    <row r="16" spans="1:10" ht="13.5" thickBot="1">
      <c r="A16" s="43" t="s">
        <v>113</v>
      </c>
      <c r="B16" s="33">
        <v>1</v>
      </c>
      <c r="C16" s="32" t="s">
        <v>75</v>
      </c>
      <c r="D16" s="33">
        <v>1</v>
      </c>
      <c r="E16" s="33">
        <v>24</v>
      </c>
      <c r="F16" s="54">
        <v>0</v>
      </c>
      <c r="G16" s="241">
        <f aca="true" t="shared" si="0" ref="G16:G29">(D16*E16*F16)/100000</f>
        <v>0</v>
      </c>
      <c r="H16" s="447" t="s">
        <v>424</v>
      </c>
      <c r="J16" s="223"/>
    </row>
    <row r="17" spans="1:10" ht="14.25" customHeight="1" thickBot="1">
      <c r="A17" s="96" t="s">
        <v>334</v>
      </c>
      <c r="B17" s="33">
        <v>2</v>
      </c>
      <c r="C17" s="32" t="s">
        <v>71</v>
      </c>
      <c r="D17" s="33">
        <v>1</v>
      </c>
      <c r="E17" s="33">
        <v>24</v>
      </c>
      <c r="F17" s="54">
        <v>0</v>
      </c>
      <c r="G17" s="242">
        <f t="shared" si="0"/>
        <v>0</v>
      </c>
      <c r="H17" s="446" t="s">
        <v>105</v>
      </c>
      <c r="J17" s="223"/>
    </row>
    <row r="18" spans="1:8" ht="12" customHeight="1" thickBot="1">
      <c r="A18" s="207"/>
      <c r="B18" s="33">
        <v>3</v>
      </c>
      <c r="C18" s="32" t="s">
        <v>31</v>
      </c>
      <c r="D18" s="33">
        <v>1</v>
      </c>
      <c r="E18" s="33">
        <v>24</v>
      </c>
      <c r="F18" s="54">
        <v>0</v>
      </c>
      <c r="G18" s="242">
        <f t="shared" si="0"/>
        <v>0</v>
      </c>
      <c r="H18" s="115" t="s">
        <v>422</v>
      </c>
    </row>
    <row r="19" spans="1:8" ht="12" customHeight="1" thickBot="1">
      <c r="A19" s="207"/>
      <c r="B19" s="33">
        <v>4</v>
      </c>
      <c r="C19" s="32" t="s">
        <v>110</v>
      </c>
      <c r="D19" s="33">
        <v>1</v>
      </c>
      <c r="E19" s="33">
        <v>24</v>
      </c>
      <c r="F19" s="54">
        <v>0</v>
      </c>
      <c r="G19" s="242">
        <f t="shared" si="0"/>
        <v>0</v>
      </c>
      <c r="H19" s="115" t="s">
        <v>106</v>
      </c>
    </row>
    <row r="20" spans="1:8" ht="13.5" thickBot="1">
      <c r="A20" s="207"/>
      <c r="B20" s="33">
        <v>5</v>
      </c>
      <c r="C20" s="238" t="s">
        <v>33</v>
      </c>
      <c r="D20" s="33">
        <v>1</v>
      </c>
      <c r="E20" s="33">
        <v>4</v>
      </c>
      <c r="F20" s="239">
        <v>75000</v>
      </c>
      <c r="G20" s="242">
        <f t="shared" si="0"/>
        <v>3</v>
      </c>
      <c r="H20" s="115" t="s">
        <v>197</v>
      </c>
    </row>
    <row r="21" spans="1:8" ht="15.75" customHeight="1" thickBot="1">
      <c r="A21" s="207"/>
      <c r="B21" s="33">
        <v>6</v>
      </c>
      <c r="C21" s="238" t="s">
        <v>111</v>
      </c>
      <c r="D21" s="33">
        <v>1</v>
      </c>
      <c r="E21" s="33">
        <v>6</v>
      </c>
      <c r="F21" s="239">
        <v>75000</v>
      </c>
      <c r="G21" s="243">
        <f t="shared" si="0"/>
        <v>4.5</v>
      </c>
      <c r="H21" s="115" t="s">
        <v>197</v>
      </c>
    </row>
    <row r="22" spans="1:8" ht="15" customHeight="1" thickBot="1">
      <c r="A22" s="207"/>
      <c r="B22" s="33">
        <v>7</v>
      </c>
      <c r="C22" s="32" t="s">
        <v>34</v>
      </c>
      <c r="D22" s="33">
        <v>0</v>
      </c>
      <c r="E22" s="33">
        <v>24</v>
      </c>
      <c r="F22" s="54">
        <v>0</v>
      </c>
      <c r="G22" s="242">
        <f t="shared" si="0"/>
        <v>0</v>
      </c>
      <c r="H22" s="115" t="s">
        <v>426</v>
      </c>
    </row>
    <row r="23" spans="1:8" ht="13.5" thickBot="1">
      <c r="A23" s="207"/>
      <c r="B23" s="33">
        <v>8</v>
      </c>
      <c r="C23" s="32" t="s">
        <v>35</v>
      </c>
      <c r="D23" s="33">
        <v>0</v>
      </c>
      <c r="E23" s="33">
        <v>24</v>
      </c>
      <c r="F23" s="54">
        <v>0</v>
      </c>
      <c r="G23" s="242">
        <f t="shared" si="0"/>
        <v>0</v>
      </c>
      <c r="H23" s="115" t="s">
        <v>104</v>
      </c>
    </row>
    <row r="24" spans="1:8" ht="13.5" thickBot="1">
      <c r="A24" s="207"/>
      <c r="B24" s="33">
        <v>9</v>
      </c>
      <c r="C24" s="238" t="s">
        <v>84</v>
      </c>
      <c r="D24" s="33">
        <v>1</v>
      </c>
      <c r="E24" s="33">
        <v>9</v>
      </c>
      <c r="F24" s="239">
        <v>75000</v>
      </c>
      <c r="G24" s="243">
        <f t="shared" si="0"/>
        <v>6.75</v>
      </c>
      <c r="H24" s="115" t="s">
        <v>423</v>
      </c>
    </row>
    <row r="25" spans="1:8" ht="26.25" thickBot="1">
      <c r="A25" s="207"/>
      <c r="B25" s="33">
        <v>10</v>
      </c>
      <c r="C25" s="32" t="s">
        <v>98</v>
      </c>
      <c r="D25" s="33">
        <v>0</v>
      </c>
      <c r="E25" s="33">
        <v>24</v>
      </c>
      <c r="F25" s="54">
        <v>0</v>
      </c>
      <c r="G25" s="242">
        <f t="shared" si="0"/>
        <v>0</v>
      </c>
      <c r="H25" s="115" t="s">
        <v>107</v>
      </c>
    </row>
    <row r="26" spans="1:8" ht="13.5" thickBot="1">
      <c r="A26" s="207"/>
      <c r="B26" s="33"/>
      <c r="C26" s="32" t="s">
        <v>420</v>
      </c>
      <c r="D26" s="33"/>
      <c r="E26" s="33"/>
      <c r="F26" s="54"/>
      <c r="G26" s="242"/>
      <c r="H26" s="115" t="s">
        <v>421</v>
      </c>
    </row>
    <row r="27" spans="1:10" ht="13.5" thickBot="1">
      <c r="A27" s="207"/>
      <c r="B27" s="33">
        <v>11</v>
      </c>
      <c r="C27" s="238" t="s">
        <v>112</v>
      </c>
      <c r="D27" s="33">
        <v>1</v>
      </c>
      <c r="E27" s="33">
        <v>4</v>
      </c>
      <c r="F27" s="239">
        <v>75000</v>
      </c>
      <c r="G27" s="243">
        <f t="shared" si="0"/>
        <v>3</v>
      </c>
      <c r="H27" s="115" t="s">
        <v>197</v>
      </c>
      <c r="J27" s="14"/>
    </row>
    <row r="28" spans="1:10" ht="13.5" thickBot="1">
      <c r="A28" s="207"/>
      <c r="B28" s="33">
        <v>12</v>
      </c>
      <c r="C28" s="238" t="s">
        <v>99</v>
      </c>
      <c r="D28" s="33">
        <v>1</v>
      </c>
      <c r="E28" s="33">
        <v>4</v>
      </c>
      <c r="F28" s="239">
        <v>75000</v>
      </c>
      <c r="G28" s="243">
        <f t="shared" si="0"/>
        <v>3</v>
      </c>
      <c r="H28" s="115" t="s">
        <v>197</v>
      </c>
      <c r="J28" s="125" t="s">
        <v>79</v>
      </c>
    </row>
    <row r="29" spans="1:8" ht="25.5" customHeight="1" thickBot="1">
      <c r="A29" s="207"/>
      <c r="B29" s="33">
        <v>13</v>
      </c>
      <c r="C29" s="238" t="s">
        <v>70</v>
      </c>
      <c r="D29" s="33">
        <v>1</v>
      </c>
      <c r="E29" s="33">
        <v>3</v>
      </c>
      <c r="F29" s="239">
        <v>75000</v>
      </c>
      <c r="G29" s="243">
        <f t="shared" si="0"/>
        <v>2.25</v>
      </c>
      <c r="H29" s="115" t="s">
        <v>197</v>
      </c>
    </row>
    <row r="30" spans="1:8" ht="25.5" customHeight="1" thickBot="1">
      <c r="A30" s="207"/>
      <c r="B30" s="33">
        <v>15</v>
      </c>
      <c r="C30" s="238" t="s">
        <v>36</v>
      </c>
      <c r="D30" s="33">
        <v>1</v>
      </c>
      <c r="E30" s="33">
        <v>4</v>
      </c>
      <c r="F30" s="239">
        <v>75000</v>
      </c>
      <c r="G30" s="244">
        <f>(D30*E30*F30)/100000</f>
        <v>3</v>
      </c>
      <c r="H30" s="115" t="s">
        <v>197</v>
      </c>
    </row>
    <row r="31" spans="1:8" ht="25.5" customHeight="1" thickBot="1">
      <c r="A31" s="207"/>
      <c r="B31" s="33"/>
      <c r="C31" s="238" t="s">
        <v>416</v>
      </c>
      <c r="D31" s="33"/>
      <c r="E31" s="33"/>
      <c r="F31" s="239"/>
      <c r="G31" s="244"/>
      <c r="H31" s="446" t="s">
        <v>418</v>
      </c>
    </row>
    <row r="32" spans="1:12" ht="13.5" thickBot="1">
      <c r="A32" s="207"/>
      <c r="C32" s="448" t="s">
        <v>417</v>
      </c>
      <c r="H32" s="449" t="s">
        <v>419</v>
      </c>
      <c r="I32" s="34">
        <f>E20+E21+E24+E27+E28+E29+E30</f>
        <v>34</v>
      </c>
      <c r="J32" s="14" t="s">
        <v>332</v>
      </c>
      <c r="K32" s="34">
        <f>D20+D21+D24+D27+D28+D29+D30</f>
        <v>7</v>
      </c>
      <c r="L32" s="34" t="s">
        <v>333</v>
      </c>
    </row>
    <row r="33" spans="1:8" ht="13.5" thickBot="1">
      <c r="A33" s="141" t="s">
        <v>151</v>
      </c>
      <c r="B33" s="577" t="s">
        <v>150</v>
      </c>
      <c r="C33" s="578"/>
      <c r="D33" s="578"/>
      <c r="E33" s="578"/>
      <c r="F33" s="579"/>
      <c r="G33" s="200">
        <f>SUM(G16:G31)</f>
        <v>25.5</v>
      </c>
      <c r="H33" s="225"/>
    </row>
    <row r="34" spans="1:8" ht="13.5" thickBot="1">
      <c r="A34" s="140" t="s">
        <v>152</v>
      </c>
      <c r="B34" s="580" t="s">
        <v>194</v>
      </c>
      <c r="C34" s="581"/>
      <c r="D34" s="49"/>
      <c r="E34" s="49"/>
      <c r="F34" s="50"/>
      <c r="G34" s="196">
        <f>G33*0.25</f>
        <v>6.375</v>
      </c>
      <c r="H34" s="115" t="s">
        <v>197</v>
      </c>
    </row>
    <row r="35" spans="1:8" ht="13.5" thickBot="1">
      <c r="A35" s="142" t="s">
        <v>238</v>
      </c>
      <c r="B35" s="49" t="s">
        <v>195</v>
      </c>
      <c r="C35" s="49"/>
      <c r="D35" s="49"/>
      <c r="E35" s="49"/>
      <c r="F35" s="50"/>
      <c r="G35" s="197">
        <f>G33+G34</f>
        <v>31.875</v>
      </c>
      <c r="H35" s="115" t="s">
        <v>197</v>
      </c>
    </row>
    <row r="36" spans="1:12" s="234" customFormat="1" ht="20.25" customHeight="1" thickBot="1">
      <c r="A36" s="236" t="s">
        <v>239</v>
      </c>
      <c r="B36" s="582" t="s">
        <v>196</v>
      </c>
      <c r="C36" s="583"/>
      <c r="D36" s="583"/>
      <c r="E36" s="583"/>
      <c r="F36" s="584"/>
      <c r="G36" s="237">
        <f>G14+G35</f>
        <v>90.9375</v>
      </c>
      <c r="H36" s="233" t="s">
        <v>197</v>
      </c>
      <c r="I36" s="40">
        <f>I11+I32</f>
        <v>88</v>
      </c>
      <c r="J36" s="323" t="s">
        <v>332</v>
      </c>
      <c r="K36" s="40">
        <f>SUM(K11:K35)</f>
        <v>13</v>
      </c>
      <c r="L36" s="40" t="s">
        <v>333</v>
      </c>
    </row>
    <row r="37" ht="12.75">
      <c r="A37" s="34" t="s">
        <v>259</v>
      </c>
    </row>
  </sheetData>
  <sheetProtection/>
  <mergeCells count="14">
    <mergeCell ref="A2:G2"/>
    <mergeCell ref="D4:D5"/>
    <mergeCell ref="E4:E5"/>
    <mergeCell ref="B6:F6"/>
    <mergeCell ref="A4:A5"/>
    <mergeCell ref="B4:B5"/>
    <mergeCell ref="C4:C5"/>
    <mergeCell ref="B15:F15"/>
    <mergeCell ref="B33:F33"/>
    <mergeCell ref="B34:C34"/>
    <mergeCell ref="B36:F36"/>
    <mergeCell ref="B12:F12"/>
    <mergeCell ref="C13:D13"/>
    <mergeCell ref="C14:F14"/>
  </mergeCells>
  <printOptions/>
  <pageMargins left="0.5" right="0.5" top="0.75" bottom="0.75"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F14" sqref="F14"/>
    </sheetView>
  </sheetViews>
  <sheetFormatPr defaultColWidth="9.140625" defaultRowHeight="12.75"/>
  <cols>
    <col min="1" max="1" width="5.28125" style="0" customWidth="1"/>
    <col min="2" max="2" width="21.00390625" style="0" customWidth="1"/>
    <col min="3" max="3" width="39.7109375" style="0" customWidth="1"/>
    <col min="4" max="4" width="13.8515625" style="0" customWidth="1"/>
    <col min="5" max="5" width="17.28125" style="0" bestFit="1" customWidth="1"/>
    <col min="6" max="6" width="12.00390625" style="0" bestFit="1" customWidth="1"/>
    <col min="9" max="9" width="13.00390625" style="0" customWidth="1"/>
  </cols>
  <sheetData>
    <row r="1" spans="1:6" ht="14.25">
      <c r="A1" s="601" t="s">
        <v>289</v>
      </c>
      <c r="B1" s="601"/>
      <c r="C1" s="601"/>
      <c r="D1" s="601"/>
      <c r="E1" s="62"/>
      <c r="F1" s="62"/>
    </row>
    <row r="2" spans="1:6" ht="13.5" thickBot="1">
      <c r="A2" s="62"/>
      <c r="B2" s="84"/>
      <c r="C2" s="85"/>
      <c r="D2" s="85"/>
      <c r="E2" s="85"/>
      <c r="F2" s="85"/>
    </row>
    <row r="3" spans="1:6" ht="26.25" thickBot="1">
      <c r="A3" s="86"/>
      <c r="B3" s="61" t="s">
        <v>37</v>
      </c>
      <c r="C3" s="87" t="s">
        <v>38</v>
      </c>
      <c r="D3" s="61" t="s">
        <v>39</v>
      </c>
      <c r="E3" s="61" t="s">
        <v>68</v>
      </c>
      <c r="F3" s="88" t="s">
        <v>40</v>
      </c>
    </row>
    <row r="4" spans="1:6" ht="12.75">
      <c r="A4" s="89"/>
      <c r="B4" s="90"/>
      <c r="C4" s="119" t="s">
        <v>41</v>
      </c>
      <c r="D4" s="120"/>
      <c r="E4" s="91"/>
      <c r="F4" s="91"/>
    </row>
    <row r="5" spans="1:6" ht="27.75" customHeight="1" thickBot="1">
      <c r="A5" s="89"/>
      <c r="B5" s="92">
        <v>1</v>
      </c>
      <c r="C5" s="121" t="s">
        <v>198</v>
      </c>
      <c r="D5" s="122">
        <v>1000</v>
      </c>
      <c r="E5" s="24">
        <v>500</v>
      </c>
      <c r="F5" s="24">
        <f>(D5*E5)/100000</f>
        <v>5</v>
      </c>
    </row>
    <row r="6" spans="1:6" ht="24.75" thickBot="1">
      <c r="A6" s="201" t="s">
        <v>152</v>
      </c>
      <c r="B6" s="202"/>
      <c r="C6" s="202" t="s">
        <v>184</v>
      </c>
      <c r="D6" s="202"/>
      <c r="E6" s="203"/>
      <c r="F6" s="204">
        <f>SUM(F5:F5)</f>
        <v>5</v>
      </c>
    </row>
    <row r="7" spans="1:6" s="181" customFormat="1" ht="15.75">
      <c r="A7" s="271"/>
      <c r="B7" s="271"/>
      <c r="C7" s="271"/>
      <c r="D7" s="271"/>
      <c r="E7" s="271"/>
      <c r="F7" s="272"/>
    </row>
    <row r="8" spans="2:6" s="99" customFormat="1" ht="29.25" customHeight="1">
      <c r="B8" s="593" t="s">
        <v>267</v>
      </c>
      <c r="C8" s="593"/>
      <c r="D8" s="593"/>
      <c r="E8" s="593"/>
      <c r="F8" s="593"/>
    </row>
    <row r="9" spans="2:7" ht="21" customHeight="1" thickBot="1">
      <c r="B9" s="7"/>
      <c r="C9" s="29"/>
      <c r="D9" s="29"/>
      <c r="E9" s="29"/>
      <c r="F9" s="40" t="s">
        <v>0</v>
      </c>
      <c r="G9" t="s">
        <v>80</v>
      </c>
    </row>
    <row r="10" spans="1:9" ht="15" thickBot="1">
      <c r="A10" s="48"/>
      <c r="B10" s="31" t="s">
        <v>51</v>
      </c>
      <c r="C10" s="31" t="s">
        <v>73</v>
      </c>
      <c r="D10" s="61" t="s">
        <v>200</v>
      </c>
      <c r="E10" s="109" t="s">
        <v>135</v>
      </c>
      <c r="F10" s="31" t="s">
        <v>52</v>
      </c>
      <c r="G10" s="13"/>
      <c r="H10" s="13"/>
      <c r="I10" s="13"/>
    </row>
    <row r="11" spans="1:9" s="99" customFormat="1" ht="43.5" thickBot="1">
      <c r="A11" s="12"/>
      <c r="B11" s="124" t="s">
        <v>235</v>
      </c>
      <c r="C11" s="47" t="s">
        <v>199</v>
      </c>
      <c r="D11" s="208">
        <f>1000*1600</f>
        <v>1600000</v>
      </c>
      <c r="E11" s="110">
        <v>1</v>
      </c>
      <c r="F11" s="112">
        <f>(D11*E11)/100000</f>
        <v>16</v>
      </c>
      <c r="G11" s="125"/>
      <c r="H11" s="14"/>
      <c r="I11" s="125"/>
    </row>
    <row r="12" spans="1:9" ht="15">
      <c r="A12" s="12" t="s">
        <v>7</v>
      </c>
      <c r="B12" s="604" t="s">
        <v>42</v>
      </c>
      <c r="C12" s="605"/>
      <c r="D12" s="605"/>
      <c r="E12" s="605"/>
      <c r="F12" s="113">
        <f>SUM(F11:F11)</f>
        <v>16</v>
      </c>
      <c r="G12" s="13"/>
      <c r="H12" s="111"/>
      <c r="I12" s="13"/>
    </row>
    <row r="13" spans="1:9" ht="19.5" thickBot="1">
      <c r="A13" s="199" t="s">
        <v>151</v>
      </c>
      <c r="B13" s="602" t="s">
        <v>153</v>
      </c>
      <c r="C13" s="603"/>
      <c r="D13" s="603"/>
      <c r="E13" s="603"/>
      <c r="F13" s="143">
        <f>F12*1</f>
        <v>16</v>
      </c>
      <c r="G13" s="13"/>
      <c r="H13" s="111"/>
      <c r="I13" s="13"/>
    </row>
    <row r="14" spans="1:6" s="181" customFormat="1" ht="16.5" thickBot="1">
      <c r="A14" s="182" t="s">
        <v>185</v>
      </c>
      <c r="B14" s="183"/>
      <c r="C14" s="183" t="s">
        <v>154</v>
      </c>
      <c r="D14" s="183"/>
      <c r="E14" s="183"/>
      <c r="F14" s="180">
        <f>F13+F6</f>
        <v>21</v>
      </c>
    </row>
    <row r="15" spans="6:9" ht="12.75">
      <c r="F15" s="77"/>
      <c r="G15" s="13"/>
      <c r="H15" s="13"/>
      <c r="I15" s="13"/>
    </row>
    <row r="16" ht="12.75">
      <c r="B16" s="99" t="s">
        <v>236</v>
      </c>
    </row>
    <row r="18" ht="12.75">
      <c r="G18" s="77"/>
    </row>
  </sheetData>
  <sheetProtection/>
  <mergeCells count="4">
    <mergeCell ref="A1:D1"/>
    <mergeCell ref="B13:E13"/>
    <mergeCell ref="B8:F8"/>
    <mergeCell ref="B12:E12"/>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H32" sqref="H32"/>
    </sheetView>
  </sheetViews>
  <sheetFormatPr defaultColWidth="9.140625" defaultRowHeight="12.75"/>
  <cols>
    <col min="1" max="1" width="7.140625" style="0" bestFit="1" customWidth="1"/>
    <col min="2" max="2" width="44.421875" style="0" bestFit="1" customWidth="1"/>
    <col min="3" max="3" width="7.00390625" style="0" customWidth="1"/>
    <col min="4" max="4" width="14.7109375" style="0" customWidth="1"/>
    <col min="5" max="5" width="7.140625" style="0" customWidth="1"/>
    <col min="6" max="6" width="10.8515625" style="0" customWidth="1"/>
    <col min="8" max="8" width="10.140625" style="0" customWidth="1"/>
    <col min="9" max="9" width="8.28125" style="0" customWidth="1"/>
    <col min="10" max="10" width="11.00390625" style="0" customWidth="1"/>
    <col min="11" max="11" width="10.28125" style="0" customWidth="1"/>
  </cols>
  <sheetData>
    <row r="1" spans="1:6" ht="15" thickBot="1">
      <c r="A1" s="601" t="s">
        <v>298</v>
      </c>
      <c r="B1" s="601"/>
      <c r="C1" s="601"/>
      <c r="D1" s="601"/>
      <c r="E1" s="601"/>
      <c r="F1" s="601"/>
    </row>
    <row r="2" spans="1:6" ht="14.25">
      <c r="A2" s="628"/>
      <c r="B2" s="628" t="s">
        <v>38</v>
      </c>
      <c r="C2" s="628" t="s">
        <v>48</v>
      </c>
      <c r="D2" s="75" t="s">
        <v>67</v>
      </c>
      <c r="E2" s="628" t="s">
        <v>49</v>
      </c>
      <c r="F2" s="628" t="s">
        <v>40</v>
      </c>
    </row>
    <row r="3" spans="1:6" ht="15" thickBot="1">
      <c r="A3" s="629"/>
      <c r="B3" s="629"/>
      <c r="C3" s="629"/>
      <c r="D3" s="75" t="s">
        <v>69</v>
      </c>
      <c r="E3" s="629"/>
      <c r="F3" s="629"/>
    </row>
    <row r="4" spans="1:6" ht="43.5" customHeight="1">
      <c r="A4" s="624"/>
      <c r="B4" s="73" t="s">
        <v>156</v>
      </c>
      <c r="C4" s="74" t="s">
        <v>50</v>
      </c>
      <c r="D4" s="30">
        <v>0.25</v>
      </c>
      <c r="E4" s="74">
        <v>6</v>
      </c>
      <c r="F4" s="76">
        <f>D4*E4</f>
        <v>1.5</v>
      </c>
    </row>
    <row r="5" spans="1:6" ht="15.75" thickBot="1">
      <c r="A5" s="625"/>
      <c r="B5" s="626" t="s">
        <v>42</v>
      </c>
      <c r="C5" s="626"/>
      <c r="D5" s="626"/>
      <c r="E5" s="627"/>
      <c r="F5" s="145">
        <f>F4</f>
        <v>1.5</v>
      </c>
    </row>
    <row r="6" spans="1:6" ht="15">
      <c r="A6" s="278"/>
      <c r="B6" s="278"/>
      <c r="C6" s="278"/>
      <c r="D6" s="278"/>
      <c r="E6" s="278"/>
      <c r="F6" s="279"/>
    </row>
    <row r="7" spans="1:5" ht="14.25">
      <c r="A7" s="618" t="s">
        <v>299</v>
      </c>
      <c r="B7" s="618"/>
      <c r="C7" s="618"/>
      <c r="D7" s="618"/>
      <c r="E7" s="618"/>
    </row>
    <row r="8" spans="1:5" ht="12.75">
      <c r="A8" s="3"/>
      <c r="E8" s="34" t="s">
        <v>258</v>
      </c>
    </row>
    <row r="9" spans="1:8" ht="29.25" thickBot="1">
      <c r="A9" s="58" t="s">
        <v>37</v>
      </c>
      <c r="B9" s="25" t="s">
        <v>43</v>
      </c>
      <c r="C9" s="25" t="s">
        <v>44</v>
      </c>
      <c r="D9" s="25" t="s">
        <v>45</v>
      </c>
      <c r="E9" s="25" t="s">
        <v>46</v>
      </c>
      <c r="H9" s="106"/>
    </row>
    <row r="10" spans="1:8" ht="15" customHeight="1">
      <c r="A10" s="619">
        <v>1</v>
      </c>
      <c r="B10" s="621" t="s">
        <v>47</v>
      </c>
      <c r="C10" s="622">
        <v>3</v>
      </c>
      <c r="D10" s="27" t="s">
        <v>101</v>
      </c>
      <c r="E10" s="623">
        <v>0.5</v>
      </c>
      <c r="H10" s="106"/>
    </row>
    <row r="11" spans="1:8" ht="18.75" customHeight="1" thickBot="1">
      <c r="A11" s="620"/>
      <c r="B11" s="621"/>
      <c r="C11" s="622"/>
      <c r="D11" s="27" t="s">
        <v>122</v>
      </c>
      <c r="E11" s="623"/>
      <c r="H11" s="106"/>
    </row>
    <row r="12" spans="1:8" ht="15.75" customHeight="1">
      <c r="A12" s="619">
        <v>2</v>
      </c>
      <c r="B12" s="621" t="s">
        <v>20</v>
      </c>
      <c r="C12" s="622">
        <v>3</v>
      </c>
      <c r="D12" s="27" t="s">
        <v>101</v>
      </c>
      <c r="E12" s="623">
        <v>0.5</v>
      </c>
      <c r="H12" s="106"/>
    </row>
    <row r="13" spans="1:8" ht="15" customHeight="1" thickBot="1">
      <c r="A13" s="620"/>
      <c r="B13" s="621"/>
      <c r="C13" s="622"/>
      <c r="D13" s="27" t="s">
        <v>122</v>
      </c>
      <c r="E13" s="623"/>
      <c r="H13" s="106"/>
    </row>
    <row r="14" spans="1:8" ht="29.25" customHeight="1" thickBot="1">
      <c r="A14" s="250">
        <v>3</v>
      </c>
      <c r="B14" s="27" t="s">
        <v>121</v>
      </c>
      <c r="C14" s="26">
        <v>3</v>
      </c>
      <c r="D14" s="105" t="s">
        <v>102</v>
      </c>
      <c r="E14" s="28">
        <v>1</v>
      </c>
      <c r="H14" s="106"/>
    </row>
    <row r="15" spans="1:8" ht="18.75" customHeight="1" thickBot="1">
      <c r="A15" s="59" t="s">
        <v>7</v>
      </c>
      <c r="B15" s="612" t="s">
        <v>72</v>
      </c>
      <c r="C15" s="613"/>
      <c r="D15" s="614"/>
      <c r="E15" s="251">
        <f>SUM(E10:E14)</f>
        <v>2</v>
      </c>
      <c r="H15" s="106"/>
    </row>
    <row r="16" spans="1:5" ht="17.25" customHeight="1" thickBot="1">
      <c r="A16" s="57" t="s">
        <v>19</v>
      </c>
      <c r="B16" s="615" t="s">
        <v>81</v>
      </c>
      <c r="C16" s="616"/>
      <c r="D16" s="617"/>
      <c r="E16" s="56">
        <f>E15*0.1</f>
        <v>0.2</v>
      </c>
    </row>
    <row r="17" spans="1:5" ht="18.75" customHeight="1" thickBot="1">
      <c r="A17" s="57" t="s">
        <v>78</v>
      </c>
      <c r="B17" s="615" t="s">
        <v>82</v>
      </c>
      <c r="C17" s="616"/>
      <c r="D17" s="617"/>
      <c r="E17" s="38">
        <f>(E15+E16)*0.04</f>
        <v>0.08800000000000001</v>
      </c>
    </row>
    <row r="18" spans="1:7" ht="18.75" customHeight="1" thickBot="1">
      <c r="A18" s="615" t="s">
        <v>83</v>
      </c>
      <c r="B18" s="616"/>
      <c r="C18" s="616"/>
      <c r="D18" s="617"/>
      <c r="E18" s="146">
        <f>E15+E16+E17</f>
        <v>2.2880000000000003</v>
      </c>
      <c r="G18" s="283"/>
    </row>
    <row r="21" spans="1:6" ht="13.5" thickBot="1">
      <c r="A21" s="606" t="s">
        <v>300</v>
      </c>
      <c r="B21" s="606"/>
      <c r="C21" s="606"/>
      <c r="D21" s="606"/>
      <c r="F21" s="34" t="s">
        <v>258</v>
      </c>
    </row>
    <row r="22" spans="1:6" ht="24.75" thickBot="1">
      <c r="A22" s="4"/>
      <c r="B22" s="5" t="s">
        <v>38</v>
      </c>
      <c r="C22" s="2" t="s">
        <v>53</v>
      </c>
      <c r="D22" s="2" t="s">
        <v>54</v>
      </c>
      <c r="E22" s="2" t="s">
        <v>49</v>
      </c>
      <c r="F22" s="6" t="s">
        <v>52</v>
      </c>
    </row>
    <row r="23" spans="1:6" ht="12.75">
      <c r="A23" s="607">
        <v>1</v>
      </c>
      <c r="B23" s="610" t="s">
        <v>157</v>
      </c>
      <c r="C23" s="78"/>
      <c r="D23" s="78"/>
      <c r="E23" s="78"/>
      <c r="F23" s="78"/>
    </row>
    <row r="24" spans="1:10" ht="13.5" thickBot="1">
      <c r="A24" s="608"/>
      <c r="B24" s="611"/>
      <c r="C24" s="1">
        <v>1</v>
      </c>
      <c r="D24" s="321">
        <v>0.4</v>
      </c>
      <c r="E24" s="1">
        <v>6</v>
      </c>
      <c r="F24" s="1">
        <f>D24*E24</f>
        <v>2.4000000000000004</v>
      </c>
      <c r="G24" s="34"/>
      <c r="J24">
        <f>30000/100000</f>
        <v>0.3</v>
      </c>
    </row>
    <row r="25" spans="1:10" ht="26.25" thickBot="1">
      <c r="A25" s="609"/>
      <c r="B25" s="97" t="s">
        <v>158</v>
      </c>
      <c r="C25" s="53" t="s">
        <v>55</v>
      </c>
      <c r="D25" s="78">
        <v>0.2</v>
      </c>
      <c r="E25" s="78">
        <v>6</v>
      </c>
      <c r="F25" s="1">
        <f>D25*E25</f>
        <v>1.2000000000000002</v>
      </c>
      <c r="J25">
        <f>15000/100000</f>
        <v>0.15</v>
      </c>
    </row>
    <row r="26" spans="1:6" ht="13.5" thickBot="1">
      <c r="A26" s="35"/>
      <c r="B26" s="36" t="s">
        <v>42</v>
      </c>
      <c r="C26" s="37"/>
      <c r="D26" s="37">
        <f>SUM(D23:D25)</f>
        <v>0.6000000000000001</v>
      </c>
      <c r="E26" s="98"/>
      <c r="F26" s="144">
        <f>SUM(F24:F25)</f>
        <v>3.6000000000000005</v>
      </c>
    </row>
    <row r="27" ht="12.75">
      <c r="D27">
        <v>0.6</v>
      </c>
    </row>
    <row r="29" spans="1:6" ht="12.75">
      <c r="A29" s="274"/>
      <c r="B29" s="252" t="s">
        <v>201</v>
      </c>
      <c r="C29" s="252"/>
      <c r="D29" s="252"/>
      <c r="E29" s="252"/>
      <c r="F29" s="253">
        <f>E18+F5+F26</f>
        <v>7.388000000000001</v>
      </c>
    </row>
  </sheetData>
  <sheetProtection/>
  <mergeCells count="24">
    <mergeCell ref="B10:B11"/>
    <mergeCell ref="C10:C11"/>
    <mergeCell ref="E10:E11"/>
    <mergeCell ref="A2:A3"/>
    <mergeCell ref="B2:B3"/>
    <mergeCell ref="C2:C3"/>
    <mergeCell ref="E2:E3"/>
    <mergeCell ref="A1:F1"/>
    <mergeCell ref="A7:E7"/>
    <mergeCell ref="A12:A13"/>
    <mergeCell ref="B12:B13"/>
    <mergeCell ref="C12:C13"/>
    <mergeCell ref="E12:E13"/>
    <mergeCell ref="A4:A5"/>
    <mergeCell ref="B5:E5"/>
    <mergeCell ref="F2:F3"/>
    <mergeCell ref="A10:A11"/>
    <mergeCell ref="A21:D21"/>
    <mergeCell ref="A23:A25"/>
    <mergeCell ref="B23:B24"/>
    <mergeCell ref="B15:D15"/>
    <mergeCell ref="B16:D16"/>
    <mergeCell ref="B17:D17"/>
    <mergeCell ref="A18:D18"/>
  </mergeCells>
  <printOptions/>
  <pageMargins left="0.75" right="0.75" top="0.75" bottom="0.75" header="0" footer="0"/>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3:P48"/>
  <sheetViews>
    <sheetView zoomScalePageLayoutView="0" workbookViewId="0" topLeftCell="D37">
      <selection activeCell="N48" sqref="N48"/>
    </sheetView>
  </sheetViews>
  <sheetFormatPr defaultColWidth="9.140625" defaultRowHeight="12.75"/>
  <cols>
    <col min="1" max="1" width="8.28125" style="0" customWidth="1"/>
    <col min="2" max="2" width="12.7109375" style="0" customWidth="1"/>
    <col min="3" max="3" width="40.00390625" style="0" customWidth="1"/>
    <col min="4" max="4" width="10.421875" style="0" customWidth="1"/>
    <col min="5" max="5" width="23.7109375" style="0" customWidth="1"/>
    <col min="6" max="6" width="6.8515625" style="0" customWidth="1"/>
    <col min="8" max="8" width="8.7109375" style="0" customWidth="1"/>
    <col min="9" max="9" width="9.140625" style="0" hidden="1" customWidth="1"/>
    <col min="10" max="10" width="18.8515625" style="0" customWidth="1"/>
    <col min="11" max="11" width="10.7109375" style="0" customWidth="1"/>
    <col min="12" max="12" width="12.28125" style="0" customWidth="1"/>
    <col min="13" max="13" width="14.28125" style="0" customWidth="1"/>
    <col min="14" max="14" width="15.140625" style="0" customWidth="1"/>
    <col min="16" max="16" width="19.421875" style="0" customWidth="1"/>
  </cols>
  <sheetData>
    <row r="3" spans="1:6" ht="21.75" customHeight="1">
      <c r="A3" s="593" t="s">
        <v>335</v>
      </c>
      <c r="B3" s="593"/>
      <c r="C3" s="593"/>
      <c r="D3" s="593"/>
      <c r="E3" s="593"/>
      <c r="F3" s="80"/>
    </row>
    <row r="4" spans="1:6" ht="15" thickBot="1">
      <c r="A4" s="55"/>
      <c r="B4" s="55"/>
      <c r="C4" s="55"/>
      <c r="D4" s="55"/>
      <c r="E4" s="55"/>
      <c r="F4" s="147" t="s">
        <v>155</v>
      </c>
    </row>
    <row r="5" spans="1:6" ht="15" thickBot="1">
      <c r="A5" s="65"/>
      <c r="B5" s="63" t="s">
        <v>51</v>
      </c>
      <c r="C5" s="2" t="s">
        <v>96</v>
      </c>
      <c r="D5" s="2" t="s">
        <v>74</v>
      </c>
      <c r="E5" s="2" t="s">
        <v>97</v>
      </c>
      <c r="F5" s="67" t="s">
        <v>52</v>
      </c>
    </row>
    <row r="6" spans="1:6" ht="63.75" customHeight="1" thickBot="1">
      <c r="A6" s="64"/>
      <c r="B6" s="68" t="s">
        <v>114</v>
      </c>
      <c r="C6" s="81" t="s">
        <v>95</v>
      </c>
      <c r="D6" s="118">
        <v>5533</v>
      </c>
      <c r="E6" s="82">
        <v>200</v>
      </c>
      <c r="F6" s="69">
        <f>D6*E6/100000</f>
        <v>11.066</v>
      </c>
    </row>
    <row r="7" spans="1:6" ht="13.5" thickBot="1">
      <c r="A7" s="79"/>
      <c r="B7" s="630" t="s">
        <v>42</v>
      </c>
      <c r="C7" s="631"/>
      <c r="D7" s="631"/>
      <c r="E7" s="632"/>
      <c r="F7" s="70">
        <f>SUM(F6:F6)</f>
        <v>11.066</v>
      </c>
    </row>
    <row r="8" spans="1:6" ht="13.5" thickBot="1">
      <c r="A8" s="79"/>
      <c r="B8" s="630" t="s">
        <v>329</v>
      </c>
      <c r="C8" s="631"/>
      <c r="D8" s="631"/>
      <c r="E8" s="632"/>
      <c r="F8" s="71">
        <f>F7*0%</f>
        <v>0</v>
      </c>
    </row>
    <row r="9" spans="1:6" ht="13.5" thickBot="1">
      <c r="A9" s="79"/>
      <c r="B9" s="630" t="s">
        <v>270</v>
      </c>
      <c r="C9" s="631"/>
      <c r="D9" s="631"/>
      <c r="E9" s="632"/>
      <c r="F9" s="70">
        <f>(F7+F8)*0%</f>
        <v>0</v>
      </c>
    </row>
    <row r="10" spans="1:6" ht="13.5" thickBot="1">
      <c r="A10" s="79"/>
      <c r="B10" s="630" t="s">
        <v>271</v>
      </c>
      <c r="C10" s="631"/>
      <c r="D10" s="631"/>
      <c r="E10" s="632"/>
      <c r="F10" s="70">
        <f>(F7+F8+F9)*0%</f>
        <v>0</v>
      </c>
    </row>
    <row r="11" spans="1:6" ht="13.5" thickBot="1">
      <c r="A11" s="79"/>
      <c r="B11" s="630" t="s">
        <v>159</v>
      </c>
      <c r="C11" s="631"/>
      <c r="D11" s="631"/>
      <c r="E11" s="632"/>
      <c r="F11" s="72">
        <f>F7+F8+F9+F10</f>
        <v>11.066</v>
      </c>
    </row>
    <row r="33" ht="15.75">
      <c r="J33" s="375" t="s">
        <v>399</v>
      </c>
    </row>
    <row r="34" spans="10:16" ht="51">
      <c r="J34" s="371" t="s">
        <v>379</v>
      </c>
      <c r="K34" s="372" t="s">
        <v>380</v>
      </c>
      <c r="L34" s="372" t="s">
        <v>381</v>
      </c>
      <c r="M34" s="372" t="s">
        <v>382</v>
      </c>
      <c r="N34" s="372" t="s">
        <v>383</v>
      </c>
      <c r="O34" s="372" t="s">
        <v>42</v>
      </c>
      <c r="P34" s="373" t="s">
        <v>391</v>
      </c>
    </row>
    <row r="35" spans="10:16" ht="12.75">
      <c r="J35" s="372"/>
      <c r="K35" s="372">
        <v>20</v>
      </c>
      <c r="L35" s="372">
        <v>10</v>
      </c>
      <c r="M35" s="372">
        <v>6</v>
      </c>
      <c r="N35" s="372">
        <v>750</v>
      </c>
      <c r="O35" s="372">
        <f>K35*L35*M35*N35</f>
        <v>900000</v>
      </c>
      <c r="P35" s="372" t="s">
        <v>384</v>
      </c>
    </row>
    <row r="36" spans="10:16" ht="12.75">
      <c r="J36" s="366"/>
      <c r="K36" s="366"/>
      <c r="L36" s="366"/>
      <c r="M36" s="366"/>
      <c r="N36" s="366"/>
      <c r="O36" s="366"/>
      <c r="P36" s="366"/>
    </row>
    <row r="37" spans="10:16" ht="51">
      <c r="J37" s="364" t="s">
        <v>392</v>
      </c>
      <c r="K37" s="365" t="s">
        <v>385</v>
      </c>
      <c r="L37" s="365" t="s">
        <v>386</v>
      </c>
      <c r="M37" s="365"/>
      <c r="N37" s="365"/>
      <c r="O37" s="365"/>
      <c r="P37" s="365" t="s">
        <v>387</v>
      </c>
    </row>
    <row r="38" spans="10:16" ht="12.75">
      <c r="J38" s="365"/>
      <c r="K38" s="365">
        <v>1500</v>
      </c>
      <c r="L38" s="365">
        <v>500</v>
      </c>
      <c r="M38" s="365"/>
      <c r="N38" s="365"/>
      <c r="O38" s="365">
        <f>K38*L38</f>
        <v>750000</v>
      </c>
      <c r="P38" s="365"/>
    </row>
    <row r="39" spans="10:16" ht="12.75">
      <c r="J39" s="366"/>
      <c r="K39" s="367"/>
      <c r="L39" s="366"/>
      <c r="M39" s="366"/>
      <c r="N39" s="366"/>
      <c r="O39" s="366"/>
      <c r="P39" s="366"/>
    </row>
    <row r="40" spans="10:16" ht="38.25">
      <c r="J40" s="371" t="s">
        <v>393</v>
      </c>
      <c r="K40" s="372"/>
      <c r="L40" s="373" t="s">
        <v>388</v>
      </c>
      <c r="M40" s="372"/>
      <c r="N40" s="372"/>
      <c r="O40" s="372">
        <v>100000</v>
      </c>
      <c r="P40" s="372"/>
    </row>
    <row r="41" spans="10:16" ht="12.75">
      <c r="J41" s="368"/>
      <c r="K41" s="366"/>
      <c r="L41" s="368"/>
      <c r="M41" s="366"/>
      <c r="N41" s="366"/>
      <c r="O41" s="366"/>
      <c r="P41" s="366"/>
    </row>
    <row r="42" spans="10:16" ht="51">
      <c r="J42" s="364" t="s">
        <v>394</v>
      </c>
      <c r="K42" s="365"/>
      <c r="L42" s="365" t="s">
        <v>388</v>
      </c>
      <c r="M42" s="365"/>
      <c r="N42" s="365"/>
      <c r="O42" s="365">
        <v>200000</v>
      </c>
      <c r="P42" s="365"/>
    </row>
    <row r="43" spans="10:16" ht="12.75">
      <c r="J43" s="369"/>
      <c r="K43" s="366"/>
      <c r="L43" s="366"/>
      <c r="M43" s="366"/>
      <c r="N43" s="366"/>
      <c r="O43" s="366"/>
      <c r="P43" s="366"/>
    </row>
    <row r="44" spans="10:16" ht="38.25">
      <c r="J44" s="371" t="s">
        <v>395</v>
      </c>
      <c r="K44" s="372"/>
      <c r="L44" s="372" t="s">
        <v>388</v>
      </c>
      <c r="M44" s="372"/>
      <c r="N44" s="372"/>
      <c r="O44" s="372">
        <v>100000</v>
      </c>
      <c r="P44" s="372"/>
    </row>
    <row r="45" spans="10:16" ht="12.75">
      <c r="J45" s="366"/>
      <c r="K45" s="369"/>
      <c r="L45" s="366"/>
      <c r="M45" s="366"/>
      <c r="N45" s="366"/>
      <c r="O45" s="370"/>
      <c r="P45" s="366"/>
    </row>
    <row r="46" spans="10:16" ht="12.75">
      <c r="J46" s="365" t="s">
        <v>42</v>
      </c>
      <c r="L46" s="365" t="s">
        <v>389</v>
      </c>
      <c r="M46" s="365">
        <v>10400</v>
      </c>
      <c r="N46" s="365"/>
      <c r="O46" s="365">
        <f>SUM(O35:O44)</f>
        <v>2050000</v>
      </c>
      <c r="P46" s="365"/>
    </row>
    <row r="47" spans="10:16" ht="12.75">
      <c r="J47" s="366"/>
      <c r="K47" s="366"/>
      <c r="L47" s="366"/>
      <c r="M47" s="366"/>
      <c r="N47" s="366"/>
      <c r="O47" s="366"/>
      <c r="P47" s="366"/>
    </row>
    <row r="48" spans="10:16" ht="25.5">
      <c r="J48" s="372"/>
      <c r="K48" s="372"/>
      <c r="L48" s="371" t="s">
        <v>390</v>
      </c>
      <c r="M48" s="371"/>
      <c r="N48" s="374">
        <f>O46/M46</f>
        <v>197.1153846153846</v>
      </c>
      <c r="O48" s="372"/>
      <c r="P48" s="372"/>
    </row>
  </sheetData>
  <sheetProtection/>
  <mergeCells count="6">
    <mergeCell ref="B11:E11"/>
    <mergeCell ref="B8:E8"/>
    <mergeCell ref="A3:E3"/>
    <mergeCell ref="B10:E10"/>
    <mergeCell ref="B7:E7"/>
    <mergeCell ref="B9:E9"/>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31"/>
  <sheetViews>
    <sheetView zoomScalePageLayoutView="0" workbookViewId="0" topLeftCell="A1">
      <selection activeCell="G17" sqref="G17"/>
    </sheetView>
  </sheetViews>
  <sheetFormatPr defaultColWidth="9.140625" defaultRowHeight="12.75"/>
  <cols>
    <col min="1" max="1" width="9.140625" style="324" customWidth="1"/>
    <col min="2" max="2" width="92.57421875" style="324" bestFit="1" customWidth="1"/>
    <col min="3" max="3" width="9.00390625" style="324" customWidth="1"/>
    <col min="4" max="4" width="11.421875" style="324" bestFit="1" customWidth="1"/>
    <col min="5" max="5" width="7.421875" style="324" customWidth="1"/>
    <col min="6" max="6" width="5.57421875" style="324" customWidth="1"/>
    <col min="7" max="7" width="46.421875" style="324" customWidth="1"/>
    <col min="8" max="8" width="8.421875" style="324" bestFit="1" customWidth="1"/>
    <col min="9" max="9" width="8.7109375" style="324" customWidth="1"/>
    <col min="10" max="16384" width="9.140625" style="324" customWidth="1"/>
  </cols>
  <sheetData>
    <row r="1" spans="1:7" ht="27" customHeight="1" thickBot="1">
      <c r="A1" s="593" t="s">
        <v>301</v>
      </c>
      <c r="B1" s="593"/>
      <c r="C1" s="593"/>
      <c r="D1" s="377"/>
      <c r="E1" s="378"/>
      <c r="F1" s="378"/>
      <c r="G1" s="378"/>
    </row>
    <row r="2" spans="1:7" ht="13.5" thickBot="1">
      <c r="A2" s="126" t="s">
        <v>1</v>
      </c>
      <c r="B2" s="8" t="s">
        <v>38</v>
      </c>
      <c r="C2" s="308" t="s">
        <v>52</v>
      </c>
      <c r="D2" s="341" t="s">
        <v>350</v>
      </c>
      <c r="E2" s="378"/>
      <c r="F2" s="378"/>
      <c r="G2" s="378"/>
    </row>
    <row r="3" spans="1:7" ht="13.5" thickBot="1">
      <c r="A3" s="22">
        <v>1</v>
      </c>
      <c r="B3" s="51" t="s">
        <v>77</v>
      </c>
      <c r="C3" s="60"/>
      <c r="D3" s="346"/>
      <c r="E3" s="378"/>
      <c r="F3" s="378"/>
      <c r="G3" s="378"/>
    </row>
    <row r="4" spans="1:7" ht="13.5" thickBot="1">
      <c r="A4" s="22">
        <v>2</v>
      </c>
      <c r="B4" s="340" t="s">
        <v>349</v>
      </c>
      <c r="C4" s="309">
        <f>(10*3*10000)/100000</f>
        <v>3</v>
      </c>
      <c r="D4" s="347" t="s">
        <v>125</v>
      </c>
      <c r="E4" s="378"/>
      <c r="F4" s="378"/>
      <c r="G4" s="378"/>
    </row>
    <row r="5" spans="1:7" ht="13.5" thickBot="1">
      <c r="A5" s="22">
        <v>5</v>
      </c>
      <c r="B5" s="277" t="s">
        <v>160</v>
      </c>
      <c r="C5" s="310">
        <f>500000/100000</f>
        <v>5</v>
      </c>
      <c r="D5" s="347" t="s">
        <v>125</v>
      </c>
      <c r="E5" s="378"/>
      <c r="F5" s="378"/>
      <c r="G5" s="378"/>
    </row>
    <row r="6" spans="1:7" ht="13.5" thickBot="1">
      <c r="A6" s="22">
        <v>6</v>
      </c>
      <c r="B6" s="277" t="s">
        <v>315</v>
      </c>
      <c r="C6" s="310">
        <f>(50*3*500)/100000</f>
        <v>0.75</v>
      </c>
      <c r="D6" s="347" t="s">
        <v>276</v>
      </c>
      <c r="E6" s="378"/>
      <c r="F6" s="378"/>
      <c r="G6" s="378"/>
    </row>
    <row r="7" spans="1:7" ht="13.5" thickBot="1">
      <c r="A7" s="22">
        <v>7</v>
      </c>
      <c r="B7" s="277" t="s">
        <v>347</v>
      </c>
      <c r="C7" s="310">
        <f>(25*7*800)/100000</f>
        <v>1.4</v>
      </c>
      <c r="D7" s="348"/>
      <c r="E7" s="378"/>
      <c r="F7" s="378"/>
      <c r="G7" s="378"/>
    </row>
    <row r="8" spans="1:7" ht="13.5" thickBot="1">
      <c r="A8" s="22">
        <v>8</v>
      </c>
      <c r="B8" s="276" t="s">
        <v>338</v>
      </c>
      <c r="C8" s="311">
        <f>(25*2*800)/100000</f>
        <v>0.4</v>
      </c>
      <c r="D8" s="348"/>
      <c r="E8" s="378"/>
      <c r="F8" s="378"/>
      <c r="G8" s="378"/>
    </row>
    <row r="9" spans="1:7" ht="13.5" thickBot="1">
      <c r="A9" s="22">
        <v>9</v>
      </c>
      <c r="B9" s="277" t="s">
        <v>339</v>
      </c>
      <c r="C9" s="310">
        <f>(25*3*800)/100000</f>
        <v>0.6</v>
      </c>
      <c r="D9" s="348"/>
      <c r="E9" s="378"/>
      <c r="F9" s="378"/>
      <c r="G9" s="378"/>
    </row>
    <row r="10" spans="1:7" ht="13.5" thickBot="1">
      <c r="A10" s="22">
        <v>10</v>
      </c>
      <c r="B10" s="148" t="s">
        <v>162</v>
      </c>
      <c r="C10" s="312">
        <f>SUM(C4:C9)</f>
        <v>11.15</v>
      </c>
      <c r="D10" s="348"/>
      <c r="E10" s="378"/>
      <c r="F10" s="378"/>
      <c r="G10" s="378"/>
    </row>
    <row r="11" spans="1:7" ht="14.25" customHeight="1" thickBot="1">
      <c r="A11" s="22">
        <v>11</v>
      </c>
      <c r="B11" s="280" t="s">
        <v>161</v>
      </c>
      <c r="C11" s="310">
        <v>1</v>
      </c>
      <c r="D11" s="347" t="s">
        <v>276</v>
      </c>
      <c r="E11" s="378"/>
      <c r="F11" s="378"/>
      <c r="G11" s="378"/>
    </row>
    <row r="12" spans="1:7" ht="14.25" customHeight="1" thickBot="1">
      <c r="A12" s="22">
        <v>12</v>
      </c>
      <c r="B12" s="280" t="s">
        <v>126</v>
      </c>
      <c r="C12" s="310">
        <v>5</v>
      </c>
      <c r="D12" s="347" t="s">
        <v>276</v>
      </c>
      <c r="E12" s="378"/>
      <c r="F12" s="378"/>
      <c r="G12" s="378"/>
    </row>
    <row r="13" spans="1:7" ht="13.5" thickBot="1">
      <c r="A13" s="22">
        <v>13</v>
      </c>
      <c r="B13" s="277" t="s">
        <v>266</v>
      </c>
      <c r="C13" s="310">
        <f>(100*5*2000)/100000</f>
        <v>10</v>
      </c>
      <c r="D13" s="349" t="s">
        <v>276</v>
      </c>
      <c r="E13" s="378"/>
      <c r="F13" s="378"/>
      <c r="G13" s="378"/>
    </row>
    <row r="14" spans="1:7" ht="13.5" thickBot="1">
      <c r="A14" s="22">
        <v>14</v>
      </c>
      <c r="B14" s="148" t="s">
        <v>163</v>
      </c>
      <c r="C14" s="312">
        <f>SUM(C11:C13)</f>
        <v>16</v>
      </c>
      <c r="D14" s="342"/>
      <c r="E14" s="378"/>
      <c r="F14" s="378"/>
      <c r="G14" s="378"/>
    </row>
    <row r="15" spans="1:7" ht="13.5" thickBot="1">
      <c r="A15" s="22"/>
      <c r="B15" s="315" t="s">
        <v>348</v>
      </c>
      <c r="C15" s="316">
        <v>5</v>
      </c>
      <c r="D15" s="343" t="s">
        <v>276</v>
      </c>
      <c r="E15" s="378"/>
      <c r="F15" s="378"/>
      <c r="G15" s="378"/>
    </row>
    <row r="16" spans="1:7" ht="13.5" thickBot="1">
      <c r="A16" s="22">
        <v>15</v>
      </c>
      <c r="B16" s="9" t="s">
        <v>136</v>
      </c>
      <c r="C16" s="313">
        <f>C31</f>
        <v>5.1450000000000005</v>
      </c>
      <c r="D16" s="343" t="s">
        <v>276</v>
      </c>
      <c r="E16" s="378"/>
      <c r="F16" s="378"/>
      <c r="G16" s="378"/>
    </row>
    <row r="17" spans="1:7" ht="42" customHeight="1" thickBot="1">
      <c r="A17" s="22">
        <v>16</v>
      </c>
      <c r="B17" s="52" t="s">
        <v>377</v>
      </c>
      <c r="C17" s="313">
        <f>2*2.5</f>
        <v>5</v>
      </c>
      <c r="D17" s="344"/>
      <c r="E17" s="378"/>
      <c r="F17" s="378"/>
      <c r="G17" s="378"/>
    </row>
    <row r="18" spans="1:7" ht="13.5" thickBot="1">
      <c r="A18" s="103">
        <v>17</v>
      </c>
      <c r="B18" s="149" t="s">
        <v>165</v>
      </c>
      <c r="C18" s="312">
        <f>SUM(C15:C17)</f>
        <v>15.145</v>
      </c>
      <c r="D18" s="344"/>
      <c r="E18" s="378"/>
      <c r="F18" s="378"/>
      <c r="G18" s="378"/>
    </row>
    <row r="19" spans="1:7" ht="16.5" thickBot="1">
      <c r="A19" s="151">
        <v>18</v>
      </c>
      <c r="B19" s="150" t="s">
        <v>164</v>
      </c>
      <c r="C19" s="314">
        <f>C10+C14+C18</f>
        <v>42.295</v>
      </c>
      <c r="D19" s="345"/>
      <c r="E19" s="378"/>
      <c r="F19" s="379"/>
      <c r="G19" s="378"/>
    </row>
    <row r="20" spans="5:7" ht="12.75">
      <c r="E20" s="378"/>
      <c r="F20" s="378"/>
      <c r="G20" s="378"/>
    </row>
    <row r="21" ht="13.5" thickBot="1">
      <c r="B21" s="326" t="s">
        <v>352</v>
      </c>
    </row>
    <row r="22" spans="2:3" ht="12.75">
      <c r="B22" s="327" t="s">
        <v>123</v>
      </c>
      <c r="C22" s="328"/>
    </row>
    <row r="23" spans="2:3" ht="12.75">
      <c r="B23" s="329" t="s">
        <v>373</v>
      </c>
      <c r="C23" s="330">
        <f>(90*6*300)/100000</f>
        <v>1.62</v>
      </c>
    </row>
    <row r="24" spans="2:3" ht="13.5" thickBot="1">
      <c r="B24" s="329" t="s">
        <v>374</v>
      </c>
      <c r="C24" s="330">
        <f>(55*3*500)/100000</f>
        <v>0.825</v>
      </c>
    </row>
    <row r="25" spans="2:3" ht="12.75">
      <c r="B25" s="331" t="s">
        <v>336</v>
      </c>
      <c r="C25" s="332">
        <f>SUM(C23:C24)</f>
        <v>2.4450000000000003</v>
      </c>
    </row>
    <row r="26" spans="2:3" ht="12.75">
      <c r="B26" s="333"/>
      <c r="C26" s="334"/>
    </row>
    <row r="27" spans="2:3" ht="12.75">
      <c r="B27" s="335" t="s">
        <v>351</v>
      </c>
      <c r="C27" s="330"/>
    </row>
    <row r="28" spans="2:3" ht="12.75">
      <c r="B28" s="350" t="s">
        <v>369</v>
      </c>
      <c r="C28" s="330">
        <f>(10*120*120)/100000</f>
        <v>1.44</v>
      </c>
    </row>
    <row r="29" spans="2:3" ht="12.75">
      <c r="B29" s="350" t="s">
        <v>370</v>
      </c>
      <c r="C29" s="330">
        <f>(3*120*350)/100000</f>
        <v>1.26</v>
      </c>
    </row>
    <row r="30" spans="2:3" ht="13.5" thickBot="1">
      <c r="B30" s="336" t="s">
        <v>337</v>
      </c>
      <c r="C30" s="337">
        <f>SUM(C28:C29)</f>
        <v>2.7</v>
      </c>
    </row>
    <row r="31" spans="2:3" ht="13.5" thickBot="1">
      <c r="B31" s="338" t="s">
        <v>353</v>
      </c>
      <c r="C31" s="339">
        <f>C25+C26+C30</f>
        <v>5.1450000000000005</v>
      </c>
    </row>
  </sheetData>
  <sheetProtection/>
  <mergeCells count="1">
    <mergeCell ref="A1:C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58"/>
  <sheetViews>
    <sheetView zoomScale="130" zoomScaleNormal="130" zoomScalePageLayoutView="0" workbookViewId="0" topLeftCell="B46">
      <selection activeCell="I60" sqref="I60"/>
    </sheetView>
  </sheetViews>
  <sheetFormatPr defaultColWidth="58.8515625" defaultRowHeight="12.75"/>
  <cols>
    <col min="1" max="1" width="5.421875" style="287" bestFit="1" customWidth="1"/>
    <col min="2" max="2" width="54.57421875" style="287" customWidth="1"/>
    <col min="3" max="3" width="7.421875" style="287" customWidth="1"/>
    <col min="4" max="4" width="7.28125" style="287" customWidth="1"/>
    <col min="5" max="5" width="8.140625" style="287" customWidth="1"/>
    <col min="6" max="6" width="7.28125" style="287" customWidth="1"/>
    <col min="7" max="7" width="6.7109375" style="287" customWidth="1"/>
    <col min="8" max="8" width="7.140625" style="287" customWidth="1"/>
    <col min="9" max="9" width="15.28125" style="287" bestFit="1" customWidth="1"/>
    <col min="10" max="10" width="9.7109375" style="288" customWidth="1"/>
    <col min="11" max="11" width="9.140625" style="287" bestFit="1" customWidth="1"/>
    <col min="12" max="16384" width="58.8515625" style="287" customWidth="1"/>
  </cols>
  <sheetData>
    <row r="1" spans="2:10" s="286" customFormat="1" ht="12.75">
      <c r="B1" s="325" t="s">
        <v>412</v>
      </c>
      <c r="J1" s="304"/>
    </row>
    <row r="2" spans="1:10" ht="33.75" customHeight="1">
      <c r="A2" s="284" t="s">
        <v>138</v>
      </c>
      <c r="B2" s="284" t="s">
        <v>38</v>
      </c>
      <c r="C2" s="284" t="s">
        <v>139</v>
      </c>
      <c r="D2" s="284" t="s">
        <v>140</v>
      </c>
      <c r="E2" s="284" t="s">
        <v>141</v>
      </c>
      <c r="F2" s="284" t="s">
        <v>272</v>
      </c>
      <c r="G2" s="285" t="s">
        <v>281</v>
      </c>
      <c r="H2" s="285" t="s">
        <v>282</v>
      </c>
      <c r="I2" s="286" t="s">
        <v>284</v>
      </c>
      <c r="J2" s="354" t="s">
        <v>273</v>
      </c>
    </row>
    <row r="3" spans="1:10" ht="12" customHeight="1">
      <c r="A3" s="287">
        <v>1</v>
      </c>
      <c r="B3" s="287" t="s">
        <v>413</v>
      </c>
      <c r="C3" s="288">
        <v>28</v>
      </c>
      <c r="D3" s="288" t="s">
        <v>148</v>
      </c>
      <c r="E3" s="288">
        <v>0</v>
      </c>
      <c r="F3" s="289">
        <f>'1_GIS-RS Lab'!E28+G3</f>
        <v>90.0116</v>
      </c>
      <c r="G3" s="290">
        <f>'1_GIS-RS Lab'!F21*1</f>
        <v>21.2</v>
      </c>
      <c r="H3" s="303">
        <f>F3*1</f>
        <v>90.0116</v>
      </c>
      <c r="I3" s="287" t="s">
        <v>268</v>
      </c>
      <c r="J3" s="381" t="s">
        <v>125</v>
      </c>
    </row>
    <row r="4" spans="1:10" ht="12" customHeight="1">
      <c r="A4" s="291">
        <v>2</v>
      </c>
      <c r="B4" s="291" t="s">
        <v>324</v>
      </c>
      <c r="C4" s="292">
        <v>1</v>
      </c>
      <c r="D4" s="292" t="s">
        <v>142</v>
      </c>
      <c r="E4" s="292">
        <f>F4*100000</f>
        <v>0</v>
      </c>
      <c r="F4" s="293">
        <v>0</v>
      </c>
      <c r="G4" s="294"/>
      <c r="H4" s="294"/>
      <c r="I4" s="291" t="s">
        <v>318</v>
      </c>
      <c r="J4" s="381" t="s">
        <v>125</v>
      </c>
    </row>
    <row r="5" spans="1:10" ht="12" customHeight="1">
      <c r="A5" s="291"/>
      <c r="B5" s="291" t="s">
        <v>274</v>
      </c>
      <c r="C5" s="292"/>
      <c r="D5" s="292"/>
      <c r="E5" s="292"/>
      <c r="F5" s="292"/>
      <c r="G5" s="294"/>
      <c r="H5" s="294"/>
      <c r="I5" s="291"/>
      <c r="J5" s="381"/>
    </row>
    <row r="6" spans="1:12" ht="12" customHeight="1">
      <c r="A6" s="287">
        <v>3</v>
      </c>
      <c r="B6" s="287" t="s">
        <v>360</v>
      </c>
      <c r="C6" s="288">
        <v>3</v>
      </c>
      <c r="D6" s="288" t="s">
        <v>142</v>
      </c>
      <c r="E6" s="288">
        <f>F6*100000</f>
        <v>0</v>
      </c>
      <c r="F6" s="289">
        <v>0</v>
      </c>
      <c r="G6" s="290"/>
      <c r="H6" s="290"/>
      <c r="I6" s="291" t="s">
        <v>318</v>
      </c>
      <c r="J6" s="381" t="s">
        <v>125</v>
      </c>
      <c r="L6" s="290"/>
    </row>
    <row r="7" spans="2:10" ht="12" customHeight="1">
      <c r="B7" s="287" t="s">
        <v>274</v>
      </c>
      <c r="G7" s="290"/>
      <c r="H7" s="290"/>
      <c r="J7" s="381"/>
    </row>
    <row r="8" spans="1:10" ht="12" customHeight="1">
      <c r="A8" s="291">
        <v>4</v>
      </c>
      <c r="B8" s="291" t="s">
        <v>361</v>
      </c>
      <c r="C8" s="291">
        <v>70</v>
      </c>
      <c r="D8" s="293" t="s">
        <v>142</v>
      </c>
      <c r="E8" s="294">
        <f>F8*100000</f>
        <v>9093750</v>
      </c>
      <c r="F8" s="294">
        <f>'3_CDMP_consultant_staff B-I'!G36</f>
        <v>90.9375</v>
      </c>
      <c r="G8" s="294"/>
      <c r="H8" s="380">
        <f>F8*1</f>
        <v>90.9375</v>
      </c>
      <c r="I8" s="291" t="s">
        <v>290</v>
      </c>
      <c r="J8" s="381" t="s">
        <v>125</v>
      </c>
    </row>
    <row r="9" spans="1:10" ht="12" customHeight="1">
      <c r="A9" s="291"/>
      <c r="B9" s="291" t="s">
        <v>323</v>
      </c>
      <c r="C9" s="291"/>
      <c r="D9" s="294"/>
      <c r="E9" s="294"/>
      <c r="F9" s="294"/>
      <c r="G9" s="294"/>
      <c r="H9" s="294"/>
      <c r="I9" s="291"/>
      <c r="J9" s="355"/>
    </row>
    <row r="10" spans="1:10" ht="12" customHeight="1">
      <c r="A10" s="287">
        <v>5</v>
      </c>
      <c r="B10" s="287" t="s">
        <v>302</v>
      </c>
      <c r="C10" s="287">
        <v>1000</v>
      </c>
      <c r="D10" s="290">
        <v>500</v>
      </c>
      <c r="E10" s="295">
        <f>C10*D10</f>
        <v>500000</v>
      </c>
      <c r="F10" s="290">
        <f>'7_cost_Mouza AppI-(B-2)'!F6</f>
        <v>5</v>
      </c>
      <c r="G10" s="290">
        <f>F10*1</f>
        <v>5</v>
      </c>
      <c r="H10" s="290"/>
      <c r="I10" s="287" t="s">
        <v>295</v>
      </c>
      <c r="J10" s="355" t="s">
        <v>276</v>
      </c>
    </row>
    <row r="11" spans="2:10" ht="12" customHeight="1">
      <c r="B11" s="287" t="s">
        <v>269</v>
      </c>
      <c r="D11" s="290"/>
      <c r="E11" s="295"/>
      <c r="F11" s="290"/>
      <c r="G11" s="290"/>
      <c r="H11" s="290"/>
      <c r="J11" s="355"/>
    </row>
    <row r="12" spans="1:10" ht="12" customHeight="1">
      <c r="A12" s="291">
        <v>6</v>
      </c>
      <c r="B12" s="291" t="s">
        <v>303</v>
      </c>
      <c r="C12" s="291">
        <f>1600*1000</f>
        <v>1600000</v>
      </c>
      <c r="D12" s="294">
        <v>1</v>
      </c>
      <c r="E12" s="294">
        <f>C12*D12</f>
        <v>1600000</v>
      </c>
      <c r="F12" s="294">
        <f>'7_cost_Mouza AppI-(B-2)'!F13</f>
        <v>16</v>
      </c>
      <c r="G12" s="294">
        <f>F12*1</f>
        <v>16</v>
      </c>
      <c r="H12" s="294"/>
      <c r="I12" s="291" t="s">
        <v>295</v>
      </c>
      <c r="J12" s="355" t="s">
        <v>276</v>
      </c>
    </row>
    <row r="13" spans="1:10" ht="12" customHeight="1">
      <c r="A13" s="291"/>
      <c r="B13" s="291" t="s">
        <v>304</v>
      </c>
      <c r="C13" s="291"/>
      <c r="D13" s="294"/>
      <c r="E13" s="294"/>
      <c r="F13" s="294"/>
      <c r="G13" s="294"/>
      <c r="H13" s="294"/>
      <c r="I13" s="291"/>
      <c r="J13" s="355"/>
    </row>
    <row r="14" spans="1:10" ht="12" customHeight="1">
      <c r="A14" s="287">
        <v>7</v>
      </c>
      <c r="B14" s="356" t="s">
        <v>305</v>
      </c>
      <c r="C14" s="287">
        <v>6</v>
      </c>
      <c r="D14" s="290">
        <v>25000</v>
      </c>
      <c r="E14" s="295">
        <f>C14*D14</f>
        <v>150000</v>
      </c>
      <c r="F14" s="290">
        <f>'9_Site office_car_furniture'!F5</f>
        <v>1.5</v>
      </c>
      <c r="G14" s="290">
        <f>F14*1</f>
        <v>1.5</v>
      </c>
      <c r="H14" s="290"/>
      <c r="I14" s="287" t="s">
        <v>297</v>
      </c>
      <c r="J14" s="355" t="s">
        <v>276</v>
      </c>
    </row>
    <row r="15" spans="2:10" ht="12" customHeight="1">
      <c r="B15" s="356" t="s">
        <v>143</v>
      </c>
      <c r="D15" s="290"/>
      <c r="E15" s="295"/>
      <c r="F15" s="290"/>
      <c r="G15" s="290"/>
      <c r="H15" s="290"/>
      <c r="J15" s="355"/>
    </row>
    <row r="16" spans="2:10" ht="12" customHeight="1">
      <c r="B16" s="356" t="s">
        <v>144</v>
      </c>
      <c r="D16" s="290"/>
      <c r="E16" s="295"/>
      <c r="F16" s="290"/>
      <c r="G16" s="290"/>
      <c r="H16" s="290"/>
      <c r="J16" s="355"/>
    </row>
    <row r="17" spans="1:10" ht="12" customHeight="1">
      <c r="A17" s="291">
        <v>8</v>
      </c>
      <c r="B17" s="356" t="s">
        <v>306</v>
      </c>
      <c r="C17" s="291">
        <v>6</v>
      </c>
      <c r="D17" s="294">
        <v>60000</v>
      </c>
      <c r="E17" s="294">
        <f>C17*D17</f>
        <v>360000</v>
      </c>
      <c r="F17" s="294">
        <f>'9_Site office_car_furniture'!F26</f>
        <v>3.6000000000000005</v>
      </c>
      <c r="G17" s="294">
        <f>F17*1</f>
        <v>3.6000000000000005</v>
      </c>
      <c r="H17" s="294"/>
      <c r="I17" s="291" t="s">
        <v>297</v>
      </c>
      <c r="J17" s="355" t="s">
        <v>276</v>
      </c>
    </row>
    <row r="18" spans="1:10" ht="12" customHeight="1">
      <c r="A18" s="291"/>
      <c r="B18" s="356" t="s">
        <v>375</v>
      </c>
      <c r="C18" s="291"/>
      <c r="D18" s="294"/>
      <c r="E18" s="294"/>
      <c r="F18" s="294"/>
      <c r="G18" s="294"/>
      <c r="H18" s="294"/>
      <c r="I18" s="291"/>
      <c r="J18" s="355"/>
    </row>
    <row r="19" spans="1:10" ht="12" customHeight="1">
      <c r="A19" s="287">
        <v>9</v>
      </c>
      <c r="B19" s="287" t="s">
        <v>307</v>
      </c>
      <c r="C19" s="287">
        <v>5533</v>
      </c>
      <c r="D19" s="290">
        <v>200</v>
      </c>
      <c r="E19" s="295">
        <f>C19*D19</f>
        <v>1106600</v>
      </c>
      <c r="F19" s="290">
        <f>'8_Other survey_UDD'!F11</f>
        <v>11.066</v>
      </c>
      <c r="G19" s="290">
        <f>F19*1</f>
        <v>11.066</v>
      </c>
      <c r="H19" s="290"/>
      <c r="I19" s="287" t="s">
        <v>296</v>
      </c>
      <c r="J19" s="355" t="s">
        <v>276</v>
      </c>
    </row>
    <row r="20" spans="2:10" ht="12" customHeight="1">
      <c r="B20" s="287" t="s">
        <v>400</v>
      </c>
      <c r="D20" s="290"/>
      <c r="E20" s="295"/>
      <c r="F20" s="290"/>
      <c r="G20" s="290"/>
      <c r="H20" s="290"/>
      <c r="J20" s="355"/>
    </row>
    <row r="21" spans="1:10" ht="12" customHeight="1">
      <c r="A21" s="291">
        <v>10</v>
      </c>
      <c r="B21" s="358" t="s">
        <v>364</v>
      </c>
      <c r="C21" s="291">
        <f>90*6</f>
        <v>540</v>
      </c>
      <c r="D21" s="294">
        <v>300</v>
      </c>
      <c r="E21" s="294">
        <f>C21*D21</f>
        <v>162000</v>
      </c>
      <c r="F21" s="294">
        <f>'10_Honorarium_Contigency_others'!C23</f>
        <v>1.62</v>
      </c>
      <c r="G21" s="294">
        <f>F21*1</f>
        <v>1.62</v>
      </c>
      <c r="H21" s="294"/>
      <c r="I21" s="291" t="s">
        <v>294</v>
      </c>
      <c r="J21" s="355" t="s">
        <v>276</v>
      </c>
    </row>
    <row r="22" spans="1:10" ht="12" customHeight="1">
      <c r="A22" s="291"/>
      <c r="B22" s="358" t="s">
        <v>367</v>
      </c>
      <c r="C22" s="291"/>
      <c r="D22" s="294"/>
      <c r="E22" s="294"/>
      <c r="F22" s="294"/>
      <c r="G22" s="294"/>
      <c r="H22" s="294"/>
      <c r="I22" s="291"/>
      <c r="J22" s="355"/>
    </row>
    <row r="23" spans="1:10" ht="12" customHeight="1">
      <c r="A23" s="291"/>
      <c r="B23" s="358" t="s">
        <v>401</v>
      </c>
      <c r="C23" s="291"/>
      <c r="D23" s="294"/>
      <c r="E23" s="294"/>
      <c r="F23" s="294"/>
      <c r="G23" s="294"/>
      <c r="H23" s="294"/>
      <c r="I23" s="291"/>
      <c r="J23" s="355"/>
    </row>
    <row r="24" spans="1:10" ht="12" customHeight="1">
      <c r="A24" s="287">
        <v>11</v>
      </c>
      <c r="B24" s="358" t="s">
        <v>365</v>
      </c>
      <c r="C24" s="287">
        <f>55*3</f>
        <v>165</v>
      </c>
      <c r="D24" s="290">
        <v>500</v>
      </c>
      <c r="E24" s="295">
        <f>C24*D24</f>
        <v>82500</v>
      </c>
      <c r="F24" s="290">
        <f>'10_Honorarium_Contigency_others'!C24</f>
        <v>0.825</v>
      </c>
      <c r="G24" s="290">
        <f>F24*1</f>
        <v>0.825</v>
      </c>
      <c r="H24" s="290"/>
      <c r="I24" s="287" t="s">
        <v>294</v>
      </c>
      <c r="J24" s="355" t="s">
        <v>276</v>
      </c>
    </row>
    <row r="25" spans="2:10" ht="12" customHeight="1">
      <c r="B25" s="358" t="s">
        <v>368</v>
      </c>
      <c r="D25" s="290"/>
      <c r="E25" s="295"/>
      <c r="F25" s="290"/>
      <c r="G25" s="290"/>
      <c r="H25" s="290"/>
      <c r="J25" s="355"/>
    </row>
    <row r="26" spans="2:10" ht="12" customHeight="1">
      <c r="B26" s="358" t="s">
        <v>402</v>
      </c>
      <c r="D26" s="290"/>
      <c r="E26" s="295"/>
      <c r="F26" s="290"/>
      <c r="G26" s="290"/>
      <c r="H26" s="290"/>
      <c r="J26" s="355"/>
    </row>
    <row r="27" spans="1:10" ht="12" customHeight="1">
      <c r="A27" s="291">
        <v>12</v>
      </c>
      <c r="B27" s="356" t="s">
        <v>354</v>
      </c>
      <c r="C27" s="291">
        <f>10*120</f>
        <v>1200</v>
      </c>
      <c r="D27" s="294">
        <v>120</v>
      </c>
      <c r="E27" s="294">
        <f>C27*D27</f>
        <v>144000</v>
      </c>
      <c r="F27" s="294">
        <f>'10_Honorarium_Contigency_others'!C28</f>
        <v>1.44</v>
      </c>
      <c r="G27" s="294">
        <f>F27*1</f>
        <v>1.44</v>
      </c>
      <c r="H27" s="294"/>
      <c r="I27" s="291" t="s">
        <v>283</v>
      </c>
      <c r="J27" s="355" t="s">
        <v>276</v>
      </c>
    </row>
    <row r="28" spans="1:10" ht="12" customHeight="1">
      <c r="A28" s="291"/>
      <c r="B28" s="356" t="s">
        <v>356</v>
      </c>
      <c r="C28" s="291"/>
      <c r="D28" s="294"/>
      <c r="E28" s="294"/>
      <c r="F28" s="294"/>
      <c r="G28" s="294"/>
      <c r="H28" s="294"/>
      <c r="I28" s="291"/>
      <c r="J28" s="355"/>
    </row>
    <row r="29" spans="1:10" ht="12" customHeight="1">
      <c r="A29" s="291"/>
      <c r="B29" s="356" t="s">
        <v>403</v>
      </c>
      <c r="C29" s="291"/>
      <c r="D29" s="294"/>
      <c r="E29" s="294"/>
      <c r="F29" s="294"/>
      <c r="G29" s="294"/>
      <c r="H29" s="294"/>
      <c r="I29" s="291"/>
      <c r="J29" s="355"/>
    </row>
    <row r="30" spans="1:10" ht="12" customHeight="1">
      <c r="A30" s="287">
        <v>13</v>
      </c>
      <c r="B30" s="356" t="s">
        <v>357</v>
      </c>
      <c r="C30" s="287">
        <f>3*120</f>
        <v>360</v>
      </c>
      <c r="D30" s="290">
        <v>350</v>
      </c>
      <c r="E30" s="295">
        <f>C30*D30</f>
        <v>126000</v>
      </c>
      <c r="F30" s="290">
        <f>'10_Honorarium_Contigency_others'!C29</f>
        <v>1.26</v>
      </c>
      <c r="G30" s="290">
        <f>F30*1</f>
        <v>1.26</v>
      </c>
      <c r="H30" s="290"/>
      <c r="I30" s="287" t="s">
        <v>283</v>
      </c>
      <c r="J30" s="355" t="s">
        <v>276</v>
      </c>
    </row>
    <row r="31" spans="2:10" ht="12" customHeight="1">
      <c r="B31" s="356" t="s">
        <v>146</v>
      </c>
      <c r="D31" s="290"/>
      <c r="E31" s="295"/>
      <c r="F31" s="290"/>
      <c r="G31" s="290"/>
      <c r="H31" s="290"/>
      <c r="J31" s="355"/>
    </row>
    <row r="32" spans="2:10" ht="12" customHeight="1">
      <c r="B32" s="356" t="s">
        <v>404</v>
      </c>
      <c r="D32" s="290"/>
      <c r="E32" s="295"/>
      <c r="F32" s="290"/>
      <c r="G32" s="290"/>
      <c r="H32" s="290"/>
      <c r="J32" s="355"/>
    </row>
    <row r="33" spans="1:10" ht="12" customHeight="1">
      <c r="A33" s="291">
        <v>14</v>
      </c>
      <c r="B33" s="291" t="s">
        <v>308</v>
      </c>
      <c r="C33" s="291">
        <v>62200</v>
      </c>
      <c r="D33" s="294"/>
      <c r="E33" s="294">
        <f>F33*100000</f>
        <v>7033767.3</v>
      </c>
      <c r="F33" s="294">
        <f>'5_Physical feature survey'!F13</f>
        <v>70.337673</v>
      </c>
      <c r="G33" s="294"/>
      <c r="H33" s="380">
        <f>F33*1</f>
        <v>70.337673</v>
      </c>
      <c r="I33" s="291" t="s">
        <v>292</v>
      </c>
      <c r="J33" s="381" t="s">
        <v>125</v>
      </c>
    </row>
    <row r="34" spans="1:10" ht="12" customHeight="1">
      <c r="A34" s="291"/>
      <c r="B34" s="291" t="s">
        <v>279</v>
      </c>
      <c r="C34" s="291"/>
      <c r="D34" s="294"/>
      <c r="E34" s="294"/>
      <c r="F34" s="294"/>
      <c r="G34" s="294"/>
      <c r="H34" s="294"/>
      <c r="I34" s="291"/>
      <c r="J34" s="355"/>
    </row>
    <row r="35" spans="1:10" ht="12" customHeight="1">
      <c r="A35" s="291"/>
      <c r="B35" s="291" t="s">
        <v>280</v>
      </c>
      <c r="C35" s="291"/>
      <c r="D35" s="294"/>
      <c r="E35" s="294"/>
      <c r="F35" s="294"/>
      <c r="G35" s="294"/>
      <c r="H35" s="294"/>
      <c r="I35" s="291"/>
      <c r="J35" s="355"/>
    </row>
    <row r="36" spans="1:10" ht="12" customHeight="1">
      <c r="A36" s="296">
        <v>15</v>
      </c>
      <c r="B36" s="359" t="s">
        <v>358</v>
      </c>
      <c r="C36" s="296">
        <f>10*3</f>
        <v>30</v>
      </c>
      <c r="D36" s="295">
        <v>10000</v>
      </c>
      <c r="E36" s="295">
        <f aca="true" t="shared" si="0" ref="E36:E44">C36*D36</f>
        <v>300000</v>
      </c>
      <c r="F36" s="295">
        <f>'10_Honorarium_Contigency_others'!C4</f>
        <v>3</v>
      </c>
      <c r="G36" s="290"/>
      <c r="H36" s="303">
        <f>'10_Honorarium_Contigency_others'!C4</f>
        <v>3</v>
      </c>
      <c r="I36" s="287" t="s">
        <v>283</v>
      </c>
      <c r="J36" s="381" t="s">
        <v>125</v>
      </c>
    </row>
    <row r="37" spans="1:10" s="296" customFormat="1" ht="12" customHeight="1">
      <c r="A37" s="291">
        <v>16</v>
      </c>
      <c r="B37" s="361" t="s">
        <v>405</v>
      </c>
      <c r="C37" s="291">
        <f>50*3</f>
        <v>150</v>
      </c>
      <c r="D37" s="294">
        <v>500</v>
      </c>
      <c r="E37" s="294">
        <f t="shared" si="0"/>
        <v>75000</v>
      </c>
      <c r="F37" s="294">
        <f>'10_Honorarium_Contigency_others'!C6</f>
        <v>0.75</v>
      </c>
      <c r="G37" s="294">
        <f aca="true" t="shared" si="1" ref="G37:G45">F37*1</f>
        <v>0.75</v>
      </c>
      <c r="H37" s="294"/>
      <c r="I37" s="291" t="s">
        <v>283</v>
      </c>
      <c r="J37" s="355" t="s">
        <v>276</v>
      </c>
    </row>
    <row r="38" spans="1:10" s="296" customFormat="1" ht="12" customHeight="1">
      <c r="A38" s="296">
        <v>17</v>
      </c>
      <c r="B38" s="361" t="s">
        <v>326</v>
      </c>
      <c r="C38" s="296">
        <f>25*7</f>
        <v>175</v>
      </c>
      <c r="D38" s="295">
        <v>800</v>
      </c>
      <c r="E38" s="295">
        <f t="shared" si="0"/>
        <v>140000</v>
      </c>
      <c r="F38" s="295">
        <f>'10_Honorarium_Contigency_others'!C7</f>
        <v>1.4</v>
      </c>
      <c r="G38" s="290">
        <f t="shared" si="1"/>
        <v>1.4</v>
      </c>
      <c r="H38" s="290"/>
      <c r="I38" s="287" t="s">
        <v>283</v>
      </c>
      <c r="J38" s="355" t="s">
        <v>276</v>
      </c>
    </row>
    <row r="39" spans="1:10" s="296" customFormat="1" ht="12" customHeight="1">
      <c r="A39" s="291">
        <v>18</v>
      </c>
      <c r="B39" s="361" t="s">
        <v>327</v>
      </c>
      <c r="C39" s="291">
        <f>25*2</f>
        <v>50</v>
      </c>
      <c r="D39" s="294">
        <v>800</v>
      </c>
      <c r="E39" s="294">
        <f t="shared" si="0"/>
        <v>40000</v>
      </c>
      <c r="F39" s="294">
        <f>'10_Honorarium_Contigency_others'!C8</f>
        <v>0.4</v>
      </c>
      <c r="G39" s="294">
        <f t="shared" si="1"/>
        <v>0.4</v>
      </c>
      <c r="H39" s="294"/>
      <c r="I39" s="305" t="s">
        <v>283</v>
      </c>
      <c r="J39" s="355" t="s">
        <v>276</v>
      </c>
    </row>
    <row r="40" spans="1:10" s="296" customFormat="1" ht="12" customHeight="1">
      <c r="A40" s="296">
        <v>19</v>
      </c>
      <c r="B40" s="361" t="s">
        <v>328</v>
      </c>
      <c r="C40" s="296">
        <f>25*3</f>
        <v>75</v>
      </c>
      <c r="D40" s="295">
        <v>800</v>
      </c>
      <c r="E40" s="295">
        <f t="shared" si="0"/>
        <v>60000</v>
      </c>
      <c r="F40" s="295">
        <f>'10_Honorarium_Contigency_others'!C9</f>
        <v>0.6</v>
      </c>
      <c r="G40" s="290">
        <f t="shared" si="1"/>
        <v>0.6</v>
      </c>
      <c r="H40" s="290"/>
      <c r="I40" s="287" t="s">
        <v>283</v>
      </c>
      <c r="J40" s="355" t="s">
        <v>276</v>
      </c>
    </row>
    <row r="41" spans="1:10" s="296" customFormat="1" ht="12" customHeight="1">
      <c r="A41" s="291">
        <v>20</v>
      </c>
      <c r="B41" s="361" t="s">
        <v>309</v>
      </c>
      <c r="C41" s="291">
        <v>1</v>
      </c>
      <c r="D41" s="294">
        <v>500000</v>
      </c>
      <c r="E41" s="294">
        <f t="shared" si="0"/>
        <v>500000</v>
      </c>
      <c r="F41" s="294">
        <f>'10_Honorarium_Contigency_others'!C5</f>
        <v>5</v>
      </c>
      <c r="G41" s="294"/>
      <c r="H41" s="380">
        <f>'10_Honorarium_Contigency_others'!C5</f>
        <v>5</v>
      </c>
      <c r="I41" s="305" t="s">
        <v>283</v>
      </c>
      <c r="J41" s="381" t="s">
        <v>125</v>
      </c>
    </row>
    <row r="42" spans="1:10" s="296" customFormat="1" ht="12" customHeight="1">
      <c r="A42" s="296">
        <v>21</v>
      </c>
      <c r="B42" s="298" t="s">
        <v>310</v>
      </c>
      <c r="C42" s="296">
        <v>1</v>
      </c>
      <c r="D42" s="295">
        <v>100000</v>
      </c>
      <c r="E42" s="295">
        <f t="shared" si="0"/>
        <v>100000</v>
      </c>
      <c r="F42" s="295">
        <f>'10_Honorarium_Contigency_others'!C11</f>
        <v>1</v>
      </c>
      <c r="G42" s="290">
        <f t="shared" si="1"/>
        <v>1</v>
      </c>
      <c r="H42" s="290"/>
      <c r="I42" s="287" t="s">
        <v>283</v>
      </c>
      <c r="J42" s="355" t="s">
        <v>276</v>
      </c>
    </row>
    <row r="43" spans="1:10" s="296" customFormat="1" ht="12" customHeight="1">
      <c r="A43" s="291">
        <v>22</v>
      </c>
      <c r="B43" s="299" t="s">
        <v>311</v>
      </c>
      <c r="C43" s="291">
        <v>1</v>
      </c>
      <c r="D43" s="294">
        <v>500000</v>
      </c>
      <c r="E43" s="294">
        <f t="shared" si="0"/>
        <v>500000</v>
      </c>
      <c r="F43" s="294">
        <f>'10_Honorarium_Contigency_others'!C12</f>
        <v>5</v>
      </c>
      <c r="G43" s="294">
        <f t="shared" si="1"/>
        <v>5</v>
      </c>
      <c r="H43" s="294"/>
      <c r="I43" s="305" t="s">
        <v>283</v>
      </c>
      <c r="J43" s="355" t="s">
        <v>276</v>
      </c>
    </row>
    <row r="44" spans="1:10" s="296" customFormat="1" ht="12" customHeight="1">
      <c r="A44" s="296">
        <v>23</v>
      </c>
      <c r="B44" s="297" t="s">
        <v>406</v>
      </c>
      <c r="C44" s="296">
        <v>500</v>
      </c>
      <c r="D44" s="295">
        <v>2000</v>
      </c>
      <c r="E44" s="295">
        <f t="shared" si="0"/>
        <v>1000000</v>
      </c>
      <c r="F44" s="295">
        <f>'10_Honorarium_Contigency_others'!C13</f>
        <v>10</v>
      </c>
      <c r="G44" s="290">
        <f t="shared" si="1"/>
        <v>10</v>
      </c>
      <c r="H44" s="290"/>
      <c r="I44" s="287" t="s">
        <v>283</v>
      </c>
      <c r="J44" s="355" t="s">
        <v>276</v>
      </c>
    </row>
    <row r="45" spans="1:10" s="296" customFormat="1" ht="12" customHeight="1">
      <c r="A45" s="291">
        <v>24</v>
      </c>
      <c r="B45" s="357" t="s">
        <v>313</v>
      </c>
      <c r="C45" s="291">
        <v>30</v>
      </c>
      <c r="D45" s="293" t="s">
        <v>148</v>
      </c>
      <c r="E45" s="294">
        <f>F45*100000</f>
        <v>228800.00000000003</v>
      </c>
      <c r="F45" s="294">
        <f>'9_Site office_car_furniture'!E18</f>
        <v>2.2880000000000003</v>
      </c>
      <c r="G45" s="294">
        <f t="shared" si="1"/>
        <v>2.2880000000000003</v>
      </c>
      <c r="H45" s="294"/>
      <c r="I45" s="305" t="s">
        <v>297</v>
      </c>
      <c r="J45" s="355" t="s">
        <v>276</v>
      </c>
    </row>
    <row r="46" spans="1:10" s="296" customFormat="1" ht="12" customHeight="1">
      <c r="A46" s="291"/>
      <c r="B46" s="357" t="s">
        <v>275</v>
      </c>
      <c r="C46" s="291"/>
      <c r="D46" s="293"/>
      <c r="E46" s="294"/>
      <c r="F46" s="294"/>
      <c r="G46" s="294"/>
      <c r="H46" s="294"/>
      <c r="I46" s="291"/>
      <c r="J46" s="355"/>
    </row>
    <row r="47" spans="1:10" s="296" customFormat="1" ht="12" customHeight="1">
      <c r="A47" s="296">
        <v>25</v>
      </c>
      <c r="B47" s="297" t="s">
        <v>378</v>
      </c>
      <c r="D47" s="363"/>
      <c r="E47" s="295"/>
      <c r="F47" s="295">
        <f>'2_Trainning cost'!F18+'2_Trainning cost'!F32+'2_Trainning cost'!F46</f>
        <v>6.598</v>
      </c>
      <c r="G47" s="295">
        <f>F47*1</f>
        <v>6.598</v>
      </c>
      <c r="H47" s="295"/>
      <c r="J47" s="355" t="s">
        <v>276</v>
      </c>
    </row>
    <row r="48" spans="1:10" s="296" customFormat="1" ht="12" customHeight="1">
      <c r="A48" s="291">
        <v>26</v>
      </c>
      <c r="B48" s="291" t="s">
        <v>314</v>
      </c>
      <c r="C48" s="291"/>
      <c r="D48" s="294"/>
      <c r="E48" s="294"/>
      <c r="F48" s="294">
        <v>3.91</v>
      </c>
      <c r="G48" s="291"/>
      <c r="H48" s="380">
        <v>3.91</v>
      </c>
      <c r="I48" s="291" t="s">
        <v>291</v>
      </c>
      <c r="J48" s="382" t="s">
        <v>125</v>
      </c>
    </row>
    <row r="49" spans="1:10" s="296" customFormat="1" ht="12" customHeight="1">
      <c r="A49" s="291"/>
      <c r="B49" s="291"/>
      <c r="C49" s="291"/>
      <c r="D49" s="294"/>
      <c r="E49" s="294"/>
      <c r="F49" s="294"/>
      <c r="G49" s="291"/>
      <c r="H49" s="380"/>
      <c r="I49" s="291"/>
      <c r="J49" s="382"/>
    </row>
    <row r="50" spans="1:10" s="296" customFormat="1" ht="12" customHeight="1">
      <c r="A50" s="296">
        <v>27</v>
      </c>
      <c r="B50" s="359" t="s">
        <v>359</v>
      </c>
      <c r="C50" s="296">
        <v>2</v>
      </c>
      <c r="D50" s="295">
        <v>250000</v>
      </c>
      <c r="E50" s="295">
        <f>C50*D50</f>
        <v>500000</v>
      </c>
      <c r="F50" s="295">
        <f>(E50*1)/100000</f>
        <v>5</v>
      </c>
      <c r="G50" s="296">
        <v>3</v>
      </c>
      <c r="J50" s="355" t="s">
        <v>276</v>
      </c>
    </row>
    <row r="51" spans="1:10" s="296" customFormat="1" ht="56.25">
      <c r="A51" s="302">
        <v>28</v>
      </c>
      <c r="B51" s="360" t="s">
        <v>316</v>
      </c>
      <c r="C51" s="296">
        <v>2</v>
      </c>
      <c r="D51" s="295">
        <v>250000</v>
      </c>
      <c r="E51" s="295">
        <f>C51*D51</f>
        <v>500000</v>
      </c>
      <c r="F51" s="295">
        <v>5</v>
      </c>
      <c r="G51" s="290">
        <f>F51*1</f>
        <v>5</v>
      </c>
      <c r="H51" s="290"/>
      <c r="I51" s="287" t="s">
        <v>283</v>
      </c>
      <c r="J51" s="355" t="s">
        <v>276</v>
      </c>
    </row>
    <row r="52" spans="1:11" s="300" customFormat="1" ht="12" customHeight="1">
      <c r="A52" s="300">
        <v>29</v>
      </c>
      <c r="B52" s="300" t="s">
        <v>147</v>
      </c>
      <c r="F52" s="436">
        <f>G52+H52</f>
        <v>362.74377300000003</v>
      </c>
      <c r="G52" s="301">
        <f>SUM(G3:G51)</f>
        <v>99.547</v>
      </c>
      <c r="H52" s="301">
        <f>SUM(H3:H51)</f>
        <v>263.196773</v>
      </c>
      <c r="I52" s="301"/>
      <c r="J52" s="351"/>
      <c r="K52" s="444">
        <f>G52+H52</f>
        <v>362.74377300000003</v>
      </c>
    </row>
    <row r="53" spans="1:11" s="286" customFormat="1" ht="12" customHeight="1">
      <c r="A53" s="286">
        <v>30</v>
      </c>
      <c r="B53" s="302" t="s">
        <v>285</v>
      </c>
      <c r="F53" s="437"/>
      <c r="G53" s="303">
        <f>G52/K52*100</f>
        <v>27.442786729794527</v>
      </c>
      <c r="H53" s="303">
        <f>H52/F52*100</f>
        <v>72.55721327020547</v>
      </c>
      <c r="J53" s="304"/>
      <c r="K53" s="445">
        <f>G52+H52</f>
        <v>362.74377300000003</v>
      </c>
    </row>
    <row r="54" spans="1:10" ht="12" customHeight="1">
      <c r="A54" s="306">
        <v>31</v>
      </c>
      <c r="B54" s="306" t="s">
        <v>415</v>
      </c>
      <c r="C54" s="307"/>
      <c r="D54" s="307"/>
      <c r="E54" s="307"/>
      <c r="F54" s="307"/>
      <c r="G54" s="307"/>
      <c r="H54" s="307"/>
      <c r="I54" s="307"/>
      <c r="J54" s="352"/>
    </row>
    <row r="55" spans="1:10" ht="12" customHeight="1">
      <c r="A55" s="306">
        <v>32</v>
      </c>
      <c r="B55" s="306" t="s">
        <v>286</v>
      </c>
      <c r="C55" s="307"/>
      <c r="D55" s="307"/>
      <c r="E55" s="307"/>
      <c r="F55" s="307"/>
      <c r="G55" s="307"/>
      <c r="H55" s="307"/>
      <c r="I55" s="307"/>
      <c r="J55" s="352"/>
    </row>
    <row r="56" spans="1:10" ht="12" customHeight="1">
      <c r="A56" s="318">
        <v>33</v>
      </c>
      <c r="B56" s="319" t="s">
        <v>362</v>
      </c>
      <c r="C56" s="317"/>
      <c r="D56" s="317"/>
      <c r="E56" s="317"/>
      <c r="F56" s="317"/>
      <c r="G56" s="317"/>
      <c r="H56" s="317"/>
      <c r="I56" s="317"/>
      <c r="J56" s="353"/>
    </row>
    <row r="57" ht="12" customHeight="1"/>
    <row r="58" spans="6:8" ht="11.25">
      <c r="F58" s="286">
        <f>F52*100000</f>
        <v>36274377.300000004</v>
      </c>
      <c r="G58" s="286">
        <f>G52*100000</f>
        <v>9954700</v>
      </c>
      <c r="H58" s="435">
        <f>H52*100000</f>
        <v>26319677.3</v>
      </c>
    </row>
  </sheetData>
  <sheetProtection/>
  <printOptions horizontalCentered="1"/>
  <pageMargins left="0.5" right="0.5" top="0.5" bottom="0.5" header="0" footer="0"/>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B3:K19"/>
  <sheetViews>
    <sheetView zoomScalePageLayoutView="0" workbookViewId="0" topLeftCell="A1">
      <selection activeCell="G17" sqref="G17"/>
    </sheetView>
  </sheetViews>
  <sheetFormatPr defaultColWidth="9.140625" defaultRowHeight="12.75"/>
  <cols>
    <col min="1" max="1" width="14.8515625" style="0" customWidth="1"/>
    <col min="2" max="2" width="18.8515625" style="0" customWidth="1"/>
    <col min="3" max="3" width="5.28125" style="0" hidden="1" customWidth="1"/>
    <col min="4" max="4" width="13.421875" style="0" customWidth="1"/>
    <col min="5" max="5" width="33.7109375" style="0" customWidth="1"/>
    <col min="6" max="6" width="12.28125" style="0" customWidth="1"/>
    <col min="7" max="7" width="11.140625" style="0" customWidth="1"/>
  </cols>
  <sheetData>
    <row r="2" ht="13.5" thickBot="1"/>
    <row r="3" spans="2:8" ht="12.75" customHeight="1">
      <c r="B3" s="652" t="s">
        <v>56</v>
      </c>
      <c r="C3" s="653"/>
      <c r="D3" s="656" t="s">
        <v>57</v>
      </c>
      <c r="E3" s="658" t="s">
        <v>58</v>
      </c>
      <c r="F3" s="658" t="s">
        <v>124</v>
      </c>
      <c r="G3" s="633" t="s">
        <v>125</v>
      </c>
      <c r="H3" s="66"/>
    </row>
    <row r="4" spans="2:8" ht="13.5" thickBot="1">
      <c r="B4" s="654"/>
      <c r="C4" s="655"/>
      <c r="D4" s="657"/>
      <c r="E4" s="659"/>
      <c r="F4" s="659"/>
      <c r="G4" s="634"/>
      <c r="H4" s="66"/>
    </row>
    <row r="5" spans="2:11" ht="45.75" thickBot="1">
      <c r="B5" s="635" t="s">
        <v>59</v>
      </c>
      <c r="C5" s="636"/>
      <c r="D5" s="83" t="s">
        <v>88</v>
      </c>
      <c r="E5" s="129" t="s">
        <v>127</v>
      </c>
      <c r="F5" s="100">
        <f>'Appendix-I (A)_UDD staffs'!G21*1</f>
        <v>139.3764</v>
      </c>
      <c r="G5" s="104">
        <v>0</v>
      </c>
      <c r="H5" s="66"/>
      <c r="I5" s="13"/>
      <c r="J5" s="14"/>
      <c r="K5" s="13"/>
    </row>
    <row r="6" spans="2:11" ht="45.75" thickBot="1">
      <c r="B6" s="637"/>
      <c r="C6" s="638"/>
      <c r="D6" s="41" t="s">
        <v>87</v>
      </c>
      <c r="E6" s="129" t="s">
        <v>128</v>
      </c>
      <c r="F6" s="100">
        <v>0</v>
      </c>
      <c r="G6" s="100">
        <f>1*'3_CDMP_consultant_staff B-I'!G36</f>
        <v>90.9375</v>
      </c>
      <c r="H6" s="66"/>
      <c r="I6" s="127"/>
      <c r="J6" s="127"/>
      <c r="K6" s="128"/>
    </row>
    <row r="7" spans="2:11" ht="26.25" customHeight="1" thickBot="1">
      <c r="B7" s="637"/>
      <c r="C7" s="638"/>
      <c r="D7" s="41" t="s">
        <v>94</v>
      </c>
      <c r="E7" s="129" t="s">
        <v>129</v>
      </c>
      <c r="F7" s="100">
        <v>0</v>
      </c>
      <c r="G7" s="100">
        <f>1*'7_cost_Mouza AppI-(B-2)'!F14</f>
        <v>21</v>
      </c>
      <c r="H7" s="66"/>
      <c r="I7" s="127"/>
      <c r="J7" s="127"/>
      <c r="K7" s="128"/>
    </row>
    <row r="8" spans="2:11" ht="34.5" thickBot="1">
      <c r="B8" s="637"/>
      <c r="C8" s="638"/>
      <c r="D8" s="41" t="s">
        <v>89</v>
      </c>
      <c r="E8" s="130" t="s">
        <v>130</v>
      </c>
      <c r="F8" s="100">
        <v>0</v>
      </c>
      <c r="G8" s="100">
        <f>1*'8_Other survey_UDD'!F11</f>
        <v>11.066</v>
      </c>
      <c r="H8" s="66"/>
      <c r="I8" s="127"/>
      <c r="J8" s="127"/>
      <c r="K8" s="128"/>
    </row>
    <row r="9" spans="2:11" ht="23.25" thickBot="1">
      <c r="B9" s="637"/>
      <c r="C9" s="638"/>
      <c r="D9" s="93" t="s">
        <v>90</v>
      </c>
      <c r="E9" s="131" t="s">
        <v>131</v>
      </c>
      <c r="F9" s="107">
        <v>0</v>
      </c>
      <c r="G9" s="100">
        <f>1*'9_Site office_car_furniture'!F26</f>
        <v>3.6000000000000005</v>
      </c>
      <c r="H9" s="94"/>
      <c r="I9" s="13"/>
      <c r="J9" s="127"/>
      <c r="K9" s="128"/>
    </row>
    <row r="10" spans="2:11" ht="23.25" thickBot="1">
      <c r="B10" s="637"/>
      <c r="C10" s="638"/>
      <c r="D10" s="41" t="s">
        <v>91</v>
      </c>
      <c r="E10" s="130" t="s">
        <v>132</v>
      </c>
      <c r="F10" s="100">
        <v>0</v>
      </c>
      <c r="G10" s="100">
        <f>1*'9_Site office_car_furniture'!F5</f>
        <v>1.5</v>
      </c>
      <c r="H10" s="66"/>
      <c r="I10" s="13"/>
      <c r="J10" s="127"/>
      <c r="K10" s="128"/>
    </row>
    <row r="11" spans="2:11" ht="23.25" thickBot="1">
      <c r="B11" s="639"/>
      <c r="C11" s="640"/>
      <c r="D11" s="41" t="s">
        <v>92</v>
      </c>
      <c r="E11" s="132" t="s">
        <v>133</v>
      </c>
      <c r="F11" s="100">
        <v>0</v>
      </c>
      <c r="G11" s="100">
        <f>1*'10_Honorarium_Contigency_others'!C19</f>
        <v>42.295</v>
      </c>
      <c r="H11" s="66"/>
      <c r="I11" s="127"/>
      <c r="J11" s="127"/>
      <c r="K11" s="128"/>
    </row>
    <row r="12" spans="2:11" ht="15.75" thickBot="1">
      <c r="B12" s="649" t="s">
        <v>60</v>
      </c>
      <c r="C12" s="650"/>
      <c r="D12" s="650"/>
      <c r="E12" s="651"/>
      <c r="F12" s="101">
        <f>SUM(F5:F11)</f>
        <v>139.3764</v>
      </c>
      <c r="G12" s="108">
        <f>SUM(G5:G11)</f>
        <v>170.3985</v>
      </c>
      <c r="H12" s="66"/>
      <c r="I12" s="127"/>
      <c r="J12" s="127"/>
      <c r="K12" s="128"/>
    </row>
    <row r="13" spans="2:11" ht="23.25" thickBot="1">
      <c r="B13" s="133" t="s">
        <v>61</v>
      </c>
      <c r="C13" s="644" t="s">
        <v>93</v>
      </c>
      <c r="D13" s="645"/>
      <c r="E13" s="134" t="s">
        <v>134</v>
      </c>
      <c r="F13" s="100">
        <v>0</v>
      </c>
      <c r="G13" s="104">
        <f>1*'9_Site office_car_furniture'!E18</f>
        <v>2.2880000000000003</v>
      </c>
      <c r="H13" s="102"/>
      <c r="I13" s="127"/>
      <c r="J13" s="127"/>
      <c r="K13" s="128"/>
    </row>
    <row r="14" spans="2:11" ht="13.5" thickBot="1">
      <c r="B14" s="646" t="s">
        <v>62</v>
      </c>
      <c r="C14" s="647"/>
      <c r="D14" s="647"/>
      <c r="E14" s="648"/>
      <c r="F14" s="101">
        <f>SUM(F13:F13)</f>
        <v>0</v>
      </c>
      <c r="G14" s="108">
        <f>SUM(G13:G13)</f>
        <v>2.2880000000000003</v>
      </c>
      <c r="H14" s="102"/>
      <c r="I14" s="13"/>
      <c r="J14" s="13"/>
      <c r="K14" s="13"/>
    </row>
    <row r="15" spans="2:8" ht="13.5" thickBot="1">
      <c r="B15" s="641" t="s">
        <v>63</v>
      </c>
      <c r="C15" s="642"/>
      <c r="D15" s="642"/>
      <c r="E15" s="643"/>
      <c r="F15" s="135">
        <f>F12+F14</f>
        <v>139.3764</v>
      </c>
      <c r="G15" s="135">
        <f>G12+G14</f>
        <v>172.68650000000002</v>
      </c>
      <c r="H15" s="102"/>
    </row>
    <row r="16" spans="2:7" ht="12.75">
      <c r="B16" s="99"/>
      <c r="C16" s="99"/>
      <c r="D16" s="99"/>
      <c r="E16" s="99"/>
      <c r="F16" s="99"/>
      <c r="G16" s="99"/>
    </row>
    <row r="17" spans="2:7" ht="15.75">
      <c r="B17" s="99"/>
      <c r="C17" s="99"/>
      <c r="D17" s="99"/>
      <c r="E17" s="99"/>
      <c r="F17" s="137" t="s">
        <v>100</v>
      </c>
      <c r="G17" s="138">
        <f>G15*100000/76</f>
        <v>227219.07894736846</v>
      </c>
    </row>
    <row r="18" spans="2:7" ht="12.75">
      <c r="B18" s="99"/>
      <c r="C18" s="99"/>
      <c r="D18" s="99"/>
      <c r="E18" s="99"/>
      <c r="F18" s="136" t="s">
        <v>137</v>
      </c>
      <c r="G18" s="99"/>
    </row>
    <row r="19" ht="12.75">
      <c r="F19" s="10"/>
    </row>
  </sheetData>
  <sheetProtection/>
  <mergeCells count="10">
    <mergeCell ref="G3:G4"/>
    <mergeCell ref="B5:C11"/>
    <mergeCell ref="B15:E15"/>
    <mergeCell ref="C13:D13"/>
    <mergeCell ref="B14:E14"/>
    <mergeCell ref="B12:E12"/>
    <mergeCell ref="B3:C4"/>
    <mergeCell ref="D3:D4"/>
    <mergeCell ref="E3:E4"/>
    <mergeCell ref="F3:F4"/>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IV1"/>
    </sheetView>
  </sheetViews>
  <sheetFormatPr defaultColWidth="9.140625" defaultRowHeight="12.75"/>
  <cols>
    <col min="1" max="1" width="5.7109375" style="0" customWidth="1"/>
    <col min="2" max="2" width="74.140625" style="0" customWidth="1"/>
    <col min="3" max="3" width="9.8515625" style="0" customWidth="1"/>
    <col min="4" max="4" width="17.8515625" style="0" customWidth="1"/>
    <col min="5" max="5" width="14.00390625" style="0" customWidth="1"/>
  </cols>
  <sheetData>
    <row r="1" ht="15.75">
      <c r="A1" s="257" t="s">
        <v>288</v>
      </c>
    </row>
    <row r="2" spans="1:5" ht="14.25">
      <c r="A2" s="155"/>
      <c r="B2" s="11"/>
      <c r="C2" s="11"/>
      <c r="D2" s="11"/>
      <c r="E2" s="11"/>
    </row>
    <row r="3" spans="1:5" ht="12.75">
      <c r="A3" s="660" t="s">
        <v>1</v>
      </c>
      <c r="B3" s="660" t="s">
        <v>38</v>
      </c>
      <c r="C3" s="672" t="s">
        <v>168</v>
      </c>
      <c r="D3" s="156" t="s">
        <v>169</v>
      </c>
      <c r="E3" s="673" t="s">
        <v>170</v>
      </c>
    </row>
    <row r="4" spans="1:5" ht="14.25">
      <c r="A4" s="660"/>
      <c r="B4" s="660"/>
      <c r="C4" s="672"/>
      <c r="D4" s="156" t="s">
        <v>171</v>
      </c>
      <c r="E4" s="673"/>
    </row>
    <row r="5" spans="1:5" ht="12.75">
      <c r="A5" s="157">
        <v>1</v>
      </c>
      <c r="B5" s="158" t="s">
        <v>241</v>
      </c>
      <c r="C5" s="258">
        <v>100</v>
      </c>
      <c r="D5" s="159">
        <f>45*76</f>
        <v>3420</v>
      </c>
      <c r="E5" s="206">
        <f>(C5*D5)/100000</f>
        <v>3.42</v>
      </c>
    </row>
    <row r="6" spans="1:5" ht="12.75">
      <c r="A6" s="157"/>
      <c r="B6" s="255" t="s">
        <v>240</v>
      </c>
      <c r="C6" s="258"/>
      <c r="D6" s="159"/>
      <c r="E6" s="254"/>
    </row>
    <row r="7" spans="1:5" ht="12.75">
      <c r="A7" s="157"/>
      <c r="B7" s="255" t="s">
        <v>410</v>
      </c>
      <c r="C7" s="258"/>
      <c r="D7" s="159"/>
      <c r="E7" s="254"/>
    </row>
    <row r="8" spans="1:5" ht="12.75">
      <c r="A8" s="157"/>
      <c r="B8" s="255" t="s">
        <v>411</v>
      </c>
      <c r="C8" s="258"/>
      <c r="D8" s="159"/>
      <c r="E8" s="254"/>
    </row>
    <row r="9" spans="1:5" ht="12.75">
      <c r="A9" s="670">
        <v>2</v>
      </c>
      <c r="B9" s="668" t="s">
        <v>190</v>
      </c>
      <c r="C9" s="666">
        <v>0</v>
      </c>
      <c r="D9" s="666">
        <f>15*76</f>
        <v>1140</v>
      </c>
      <c r="E9" s="664">
        <f>(C9*D9)/100000</f>
        <v>0</v>
      </c>
    </row>
    <row r="10" spans="1:5" ht="12.75">
      <c r="A10" s="671"/>
      <c r="B10" s="669"/>
      <c r="C10" s="667"/>
      <c r="D10" s="667"/>
      <c r="E10" s="665"/>
    </row>
    <row r="11" spans="1:5" ht="13.5" thickBot="1">
      <c r="A11" s="660" t="s">
        <v>25</v>
      </c>
      <c r="B11" s="660"/>
      <c r="C11" s="661">
        <f>E5+E9</f>
        <v>3.42</v>
      </c>
      <c r="D11" s="662"/>
      <c r="E11" s="663"/>
    </row>
    <row r="12" spans="1:5" ht="13.5" thickBot="1">
      <c r="A12" s="36"/>
      <c r="B12" s="139" t="s">
        <v>172</v>
      </c>
      <c r="C12" s="37"/>
      <c r="D12" s="37"/>
      <c r="E12" s="256">
        <f>C11*0.1</f>
        <v>0.342</v>
      </c>
    </row>
    <row r="13" spans="1:5" ht="13.5" thickBot="1">
      <c r="A13" s="160"/>
      <c r="B13" s="161" t="s">
        <v>173</v>
      </c>
      <c r="C13" s="162"/>
      <c r="D13" s="163"/>
      <c r="E13" s="38">
        <f>C11+E12</f>
        <v>3.762</v>
      </c>
    </row>
    <row r="14" spans="1:5" ht="13.5" thickBot="1">
      <c r="A14" s="36"/>
      <c r="B14" s="139" t="s">
        <v>174</v>
      </c>
      <c r="C14" s="37"/>
      <c r="D14" s="37"/>
      <c r="E14" s="39">
        <f>E13*0.04</f>
        <v>0.15048</v>
      </c>
    </row>
    <row r="15" spans="1:5" ht="13.5" thickBot="1">
      <c r="A15" s="261"/>
      <c r="B15" s="259" t="s">
        <v>256</v>
      </c>
      <c r="C15" s="260"/>
      <c r="D15" s="260"/>
      <c r="E15" s="144">
        <f>SUM(E13:E14)</f>
        <v>3.91248</v>
      </c>
    </row>
    <row r="16" ht="12.75">
      <c r="B16" s="164"/>
    </row>
    <row r="46" spans="1:5" ht="12.75">
      <c r="A46" s="13"/>
      <c r="B46" s="167"/>
      <c r="C46" s="13"/>
      <c r="D46" s="13"/>
      <c r="E46" s="13"/>
    </row>
  </sheetData>
  <sheetProtection/>
  <mergeCells count="11">
    <mergeCell ref="A3:A4"/>
    <mergeCell ref="B3:B4"/>
    <mergeCell ref="C3:C4"/>
    <mergeCell ref="E3:E4"/>
    <mergeCell ref="A11:B11"/>
    <mergeCell ref="C11:E11"/>
    <mergeCell ref="E9:E10"/>
    <mergeCell ref="D9:D10"/>
    <mergeCell ref="C9:C10"/>
    <mergeCell ref="B9:B10"/>
    <mergeCell ref="A9:A10"/>
  </mergeCells>
  <printOptions horizontalCentered="1"/>
  <pageMargins left="0.7" right="0.7" top="0.5" bottom="0.75"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udd</cp:lastModifiedBy>
  <cp:lastPrinted>2011-09-22T02:39:32Z</cp:lastPrinted>
  <dcterms:created xsi:type="dcterms:W3CDTF">2010-09-19T04:53:51Z</dcterms:created>
  <dcterms:modified xsi:type="dcterms:W3CDTF">2011-09-22T03:58:23Z</dcterms:modified>
  <cp:category/>
  <cp:version/>
  <cp:contentType/>
  <cp:contentStatus/>
</cp:coreProperties>
</file>